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E61AFA5C-3D23-4C65-BB0A-608B029CBC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" sheetId="1" r:id="rId1"/>
    <sheet name="CONTRATOS CCVEE" sheetId="3" r:id="rId2"/>
    <sheet name="CONTRATOS CCESI" sheetId="2" r:id="rId3"/>
    <sheet name="SIGFI" sheetId="4" r:id="rId4"/>
    <sheet name="MIGDI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  <c r="C1" i="6" l="1"/>
  <c r="D2" i="6" l="1"/>
  <c r="D2" i="4" l="1"/>
  <c r="C1" i="4"/>
  <c r="D2" i="3" l="1"/>
  <c r="D2" i="2"/>
  <c r="C1" i="3" l="1"/>
  <c r="C1" i="2"/>
  <c r="E4" i="4" l="1"/>
  <c r="E5" i="4"/>
  <c r="E6" i="4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J26" i="2"/>
  <c r="J18" i="2" l="1"/>
  <c r="N18" i="2"/>
  <c r="E32" i="2"/>
  <c r="J19" i="2"/>
  <c r="N19" i="2"/>
  <c r="J20" i="2"/>
  <c r="N20" i="2"/>
  <c r="N21" i="2"/>
  <c r="O21" i="2" s="1"/>
  <c r="P21" i="2" s="1"/>
  <c r="R21" i="2" s="1"/>
  <c r="U21" i="2" s="1"/>
  <c r="J21" i="2"/>
  <c r="N27" i="2"/>
  <c r="O27" i="2" s="1"/>
  <c r="P27" i="2" s="1"/>
  <c r="R27" i="2" s="1"/>
  <c r="U27" i="2" s="1"/>
  <c r="J27" i="2"/>
  <c r="N17" i="2"/>
  <c r="J17" i="2"/>
  <c r="J22" i="2"/>
  <c r="N22" i="2"/>
  <c r="J23" i="2"/>
  <c r="N23" i="2"/>
  <c r="D6" i="6"/>
  <c r="N28" i="2"/>
  <c r="J28" i="2"/>
  <c r="J29" i="2"/>
  <c r="N29" i="2"/>
  <c r="N16" i="2"/>
  <c r="J16" i="2"/>
  <c r="J24" i="2"/>
  <c r="N24" i="2"/>
  <c r="J15" i="2"/>
  <c r="N15" i="2"/>
  <c r="O15" i="2" s="1"/>
  <c r="P15" i="2" s="1"/>
  <c r="R15" i="2" s="1"/>
  <c r="U15" i="2" s="1"/>
  <c r="J25" i="2"/>
  <c r="N25" i="2"/>
  <c r="O25" i="2" s="1"/>
  <c r="P25" i="2" s="1"/>
  <c r="R25" i="2" s="1"/>
  <c r="U25" i="2" s="1"/>
  <c r="O47" i="2"/>
  <c r="Q47" i="2" s="1"/>
  <c r="T47" i="2" s="1"/>
  <c r="O51" i="2"/>
  <c r="Q51" i="2" s="1"/>
  <c r="T51" i="2" s="1"/>
  <c r="O54" i="2"/>
  <c r="Q54" i="2" s="1"/>
  <c r="T54" i="2" s="1"/>
  <c r="O55" i="2"/>
  <c r="Q55" i="2" s="1"/>
  <c r="T55" i="2" s="1"/>
  <c r="E62" i="2"/>
  <c r="O56" i="2"/>
  <c r="Q56" i="2" s="1"/>
  <c r="T56" i="2" s="1"/>
  <c r="O48" i="2"/>
  <c r="Q48" i="2" s="1"/>
  <c r="T48" i="2" s="1"/>
  <c r="O49" i="2"/>
  <c r="Q49" i="2" s="1"/>
  <c r="T49" i="2" s="1"/>
  <c r="O53" i="2"/>
  <c r="Q53" i="2" s="1"/>
  <c r="T53" i="2" s="1"/>
  <c r="O57" i="2"/>
  <c r="Q57" i="2" s="1"/>
  <c r="T57" i="2" s="1"/>
  <c r="O50" i="2"/>
  <c r="Q50" i="2" s="1"/>
  <c r="T50" i="2" s="1"/>
  <c r="O52" i="2"/>
  <c r="Q52" i="2" s="1"/>
  <c r="T52" i="2" s="1"/>
  <c r="O58" i="2"/>
  <c r="Q58" i="2" s="1"/>
  <c r="T58" i="2" s="1"/>
  <c r="O45" i="2"/>
  <c r="Q45" i="2" s="1"/>
  <c r="T45" i="2" s="1"/>
  <c r="O59" i="2"/>
  <c r="Q59" i="2" s="1"/>
  <c r="T59" i="2" s="1"/>
  <c r="O46" i="2"/>
  <c r="Q46" i="2" s="1"/>
  <c r="T46" i="2" s="1"/>
  <c r="E7" i="4"/>
  <c r="P57" i="2" l="1"/>
  <c r="R57" i="2" s="1"/>
  <c r="U57" i="2" s="1"/>
  <c r="V57" i="2" s="1"/>
  <c r="Q25" i="2"/>
  <c r="T25" i="2" s="1"/>
  <c r="P59" i="2"/>
  <c r="R59" i="2" s="1"/>
  <c r="U59" i="2" s="1"/>
  <c r="V59" i="2" s="1"/>
  <c r="Q21" i="2"/>
  <c r="T21" i="2" s="1"/>
  <c r="P47" i="2"/>
  <c r="R47" i="2" s="1"/>
  <c r="U47" i="2" s="1"/>
  <c r="V47" i="2" s="1"/>
  <c r="Q15" i="2"/>
  <c r="T15" i="2" s="1"/>
  <c r="O23" i="2"/>
  <c r="Q23" i="2" s="1"/>
  <c r="T23" i="2" s="1"/>
  <c r="O22" i="2"/>
  <c r="Q22" i="2" s="1"/>
  <c r="T22" i="2" s="1"/>
  <c r="P53" i="2"/>
  <c r="R53" i="2" s="1"/>
  <c r="U53" i="2" s="1"/>
  <c r="V53" i="2" s="1"/>
  <c r="O19" i="2"/>
  <c r="Q19" i="2" s="1"/>
  <c r="T19" i="2" s="1"/>
  <c r="P52" i="2"/>
  <c r="R52" i="2" s="1"/>
  <c r="U52" i="2" s="1"/>
  <c r="V52" i="2" s="1"/>
  <c r="P56" i="2"/>
  <c r="R56" i="2" s="1"/>
  <c r="U56" i="2" s="1"/>
  <c r="V56" i="2" s="1"/>
  <c r="O28" i="2"/>
  <c r="Q28" i="2" s="1"/>
  <c r="T28" i="2" s="1"/>
  <c r="O16" i="2"/>
  <c r="Q16" i="2" s="1"/>
  <c r="T16" i="2" s="1"/>
  <c r="O17" i="2"/>
  <c r="Q17" i="2" s="1"/>
  <c r="T17" i="2" s="1"/>
  <c r="O29" i="2"/>
  <c r="Q29" i="2" s="1"/>
  <c r="T29" i="2" s="1"/>
  <c r="O18" i="2"/>
  <c r="Q18" i="2" s="1"/>
  <c r="T18" i="2" s="1"/>
  <c r="O24" i="2"/>
  <c r="Q24" i="2" s="1"/>
  <c r="T24" i="2" s="1"/>
  <c r="O20" i="2"/>
  <c r="Q20" i="2" s="1"/>
  <c r="T20" i="2" s="1"/>
  <c r="Q27" i="2"/>
  <c r="T27" i="2" s="1"/>
  <c r="P45" i="2"/>
  <c r="R45" i="2" s="1"/>
  <c r="U45" i="2" s="1"/>
  <c r="V45" i="2" s="1"/>
  <c r="P55" i="2"/>
  <c r="R55" i="2" s="1"/>
  <c r="U55" i="2" s="1"/>
  <c r="V55" i="2" s="1"/>
  <c r="P58" i="2"/>
  <c r="R58" i="2" s="1"/>
  <c r="U58" i="2" s="1"/>
  <c r="V58" i="2" s="1"/>
  <c r="P46" i="2"/>
  <c r="R46" i="2" s="1"/>
  <c r="U46" i="2" s="1"/>
  <c r="V46" i="2" s="1"/>
  <c r="P54" i="2"/>
  <c r="R54" i="2" s="1"/>
  <c r="U54" i="2" s="1"/>
  <c r="V54" i="2" s="1"/>
  <c r="P51" i="2"/>
  <c r="R51" i="2" s="1"/>
  <c r="U51" i="2" s="1"/>
  <c r="V51" i="2" s="1"/>
  <c r="P49" i="2"/>
  <c r="R49" i="2" s="1"/>
  <c r="U49" i="2" s="1"/>
  <c r="V49" i="2" s="1"/>
  <c r="P50" i="2"/>
  <c r="R50" i="2" s="1"/>
  <c r="U50" i="2" s="1"/>
  <c r="V50" i="2" s="1"/>
  <c r="P48" i="2"/>
  <c r="R48" i="2" s="1"/>
  <c r="U48" i="2" s="1"/>
  <c r="V48" i="2" s="1"/>
  <c r="P28" i="2" l="1"/>
  <c r="R28" i="2" s="1"/>
  <c r="U28" i="2" s="1"/>
  <c r="P20" i="2"/>
  <c r="R20" i="2" s="1"/>
  <c r="U20" i="2" s="1"/>
  <c r="P24" i="2"/>
  <c r="R24" i="2" s="1"/>
  <c r="U24" i="2" s="1"/>
  <c r="P29" i="2"/>
  <c r="R29" i="2" s="1"/>
  <c r="U29" i="2" s="1"/>
  <c r="P23" i="2"/>
  <c r="R23" i="2" s="1"/>
  <c r="U23" i="2" s="1"/>
  <c r="P16" i="2"/>
  <c r="R16" i="2" s="1"/>
  <c r="U16" i="2" s="1"/>
  <c r="P19" i="2"/>
  <c r="R19" i="2" s="1"/>
  <c r="U19" i="2" s="1"/>
  <c r="P17" i="2"/>
  <c r="R17" i="2" s="1"/>
  <c r="U17" i="2" s="1"/>
  <c r="P22" i="2"/>
  <c r="R22" i="2" s="1"/>
  <c r="U22" i="2" s="1"/>
  <c r="P18" i="2"/>
  <c r="R18" i="2" s="1"/>
  <c r="U18" i="2" s="1"/>
  <c r="M61" i="2" l="1"/>
  <c r="N61" i="2" s="1"/>
  <c r="M60" i="2"/>
  <c r="N60" i="2" s="1"/>
  <c r="M59" i="2"/>
  <c r="W29" i="2"/>
  <c r="M58" i="2"/>
  <c r="W28" i="2"/>
  <c r="M57" i="2"/>
  <c r="W27" i="2"/>
  <c r="M56" i="2"/>
  <c r="M55" i="2"/>
  <c r="M54" i="2"/>
  <c r="W24" i="2"/>
  <c r="M53" i="2"/>
  <c r="W23" i="2"/>
  <c r="M52" i="2"/>
  <c r="W22" i="2"/>
  <c r="M51" i="2"/>
  <c r="W21" i="2"/>
  <c r="M50" i="2"/>
  <c r="W20" i="2"/>
  <c r="M49" i="2"/>
  <c r="W19" i="2"/>
  <c r="M48" i="2"/>
  <c r="W18" i="2"/>
  <c r="M47" i="2"/>
  <c r="W17" i="2"/>
  <c r="M46" i="2"/>
  <c r="W16" i="2"/>
  <c r="M45" i="2"/>
  <c r="W15" i="2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O39" i="2" l="1"/>
  <c r="Q39" i="2" s="1"/>
  <c r="T39" i="2" s="1"/>
  <c r="O60" i="2"/>
  <c r="Q60" i="2" s="1"/>
  <c r="T60" i="2" s="1"/>
  <c r="O41" i="2"/>
  <c r="Q41" i="2" s="1"/>
  <c r="T41" i="2" s="1"/>
  <c r="O37" i="2"/>
  <c r="Q37" i="2" s="1"/>
  <c r="T37" i="2" s="1"/>
  <c r="O44" i="2"/>
  <c r="Q44" i="2" s="1"/>
  <c r="T44" i="2" s="1"/>
  <c r="O35" i="2"/>
  <c r="Q35" i="2" s="1"/>
  <c r="T35" i="2" s="1"/>
  <c r="O42" i="2"/>
  <c r="Q42" i="2" s="1"/>
  <c r="T42" i="2" s="1"/>
  <c r="O40" i="2"/>
  <c r="Q40" i="2" s="1"/>
  <c r="T40" i="2" s="1"/>
  <c r="O61" i="2"/>
  <c r="Q61" i="2" s="1"/>
  <c r="T61" i="2" s="1"/>
  <c r="O38" i="2"/>
  <c r="Q38" i="2" s="1"/>
  <c r="T38" i="2" s="1"/>
  <c r="W25" i="2"/>
  <c r="O36" i="2"/>
  <c r="Q36" i="2" s="1"/>
  <c r="T36" i="2" s="1"/>
  <c r="O43" i="2"/>
  <c r="Q43" i="2" s="1"/>
  <c r="T43" i="2" s="1"/>
  <c r="P40" i="2" l="1"/>
  <c r="R40" i="2" s="1"/>
  <c r="U40" i="2" s="1"/>
  <c r="V40" i="2" s="1"/>
  <c r="P44" i="2"/>
  <c r="R44" i="2" s="1"/>
  <c r="U44" i="2" s="1"/>
  <c r="V44" i="2" s="1"/>
  <c r="P61" i="2"/>
  <c r="R61" i="2" s="1"/>
  <c r="U61" i="2" s="1"/>
  <c r="V61" i="2" s="1"/>
  <c r="P60" i="2"/>
  <c r="R60" i="2" s="1"/>
  <c r="U60" i="2" s="1"/>
  <c r="V60" i="2" s="1"/>
  <c r="P42" i="2"/>
  <c r="R42" i="2" s="1"/>
  <c r="U42" i="2" s="1"/>
  <c r="V42" i="2" s="1"/>
  <c r="P41" i="2"/>
  <c r="R41" i="2" s="1"/>
  <c r="U41" i="2" s="1"/>
  <c r="V41" i="2" s="1"/>
  <c r="P43" i="2"/>
  <c r="R43" i="2" s="1"/>
  <c r="U43" i="2" s="1"/>
  <c r="V43" i="2" s="1"/>
  <c r="P39" i="2"/>
  <c r="R39" i="2" s="1"/>
  <c r="U39" i="2" s="1"/>
  <c r="V39" i="2" s="1"/>
  <c r="P36" i="2"/>
  <c r="R36" i="2" s="1"/>
  <c r="U36" i="2" s="1"/>
  <c r="V36" i="2" s="1"/>
  <c r="P38" i="2"/>
  <c r="R38" i="2" s="1"/>
  <c r="U38" i="2" s="1"/>
  <c r="V38" i="2" s="1"/>
  <c r="P35" i="2"/>
  <c r="R35" i="2" s="1"/>
  <c r="U35" i="2" s="1"/>
  <c r="V35" i="2" s="1"/>
  <c r="P37" i="2"/>
  <c r="R37" i="2" s="1"/>
  <c r="U37" i="2" s="1"/>
  <c r="V37" i="2" s="1"/>
  <c r="V62" i="2" l="1"/>
  <c r="I30" i="2" l="1"/>
  <c r="I22" i="2"/>
  <c r="M22" i="2" s="1"/>
  <c r="I15" i="2"/>
  <c r="M15" i="2" s="1"/>
  <c r="I11" i="2"/>
  <c r="I8" i="2"/>
  <c r="G8" i="3"/>
  <c r="G7" i="3"/>
  <c r="J6" i="3"/>
  <c r="I29" i="2" l="1"/>
  <c r="M29" i="2" s="1"/>
  <c r="I25" i="2"/>
  <c r="M25" i="2" s="1"/>
  <c r="I18" i="2"/>
  <c r="M18" i="2" s="1"/>
  <c r="I7" i="3"/>
  <c r="J7" i="3" s="1"/>
  <c r="I10" i="2"/>
  <c r="I17" i="2"/>
  <c r="M17" i="2" s="1"/>
  <c r="I24" i="2"/>
  <c r="M24" i="2" s="1"/>
  <c r="I9" i="2"/>
  <c r="M9" i="2" s="1"/>
  <c r="N9" i="2" s="1"/>
  <c r="I16" i="2"/>
  <c r="M16" i="2" s="1"/>
  <c r="I23" i="2"/>
  <c r="M23" i="2" s="1"/>
  <c r="I6" i="2"/>
  <c r="J6" i="2" s="1"/>
  <c r="I13" i="2"/>
  <c r="M13" i="2" s="1"/>
  <c r="N13" i="2" s="1"/>
  <c r="I20" i="2"/>
  <c r="M20" i="2" s="1"/>
  <c r="I27" i="2"/>
  <c r="M27" i="2" s="1"/>
  <c r="I31" i="2"/>
  <c r="M31" i="2" s="1"/>
  <c r="N31" i="2" s="1"/>
  <c r="G6" i="3"/>
  <c r="I6" i="3" s="1"/>
  <c r="J10" i="3"/>
  <c r="G10" i="3"/>
  <c r="I10" i="3" s="1"/>
  <c r="I8" i="3"/>
  <c r="J8" i="3" s="1"/>
  <c r="I7" i="2"/>
  <c r="I14" i="2"/>
  <c r="I21" i="2"/>
  <c r="M21" i="2" s="1"/>
  <c r="I28" i="2"/>
  <c r="M28" i="2" s="1"/>
  <c r="J8" i="2"/>
  <c r="M8" i="2"/>
  <c r="N8" i="2" s="1"/>
  <c r="J30" i="2"/>
  <c r="M30" i="2"/>
  <c r="N30" i="2" s="1"/>
  <c r="J10" i="2"/>
  <c r="J11" i="2"/>
  <c r="M11" i="2"/>
  <c r="N11" i="2" s="1"/>
  <c r="H11" i="3"/>
  <c r="K6" i="3"/>
  <c r="N6" i="3" s="1"/>
  <c r="I5" i="2"/>
  <c r="I12" i="2"/>
  <c r="I19" i="2"/>
  <c r="M19" i="2" s="1"/>
  <c r="I26" i="2"/>
  <c r="M26" i="2" s="1"/>
  <c r="N26" i="2" s="1"/>
  <c r="M10" i="2" l="1"/>
  <c r="N10" i="2" s="1"/>
  <c r="K7" i="3"/>
  <c r="N7" i="3" s="1"/>
  <c r="J9" i="2"/>
  <c r="M6" i="2"/>
  <c r="N6" i="2" s="1"/>
  <c r="J13" i="2"/>
  <c r="J31" i="2"/>
  <c r="G9" i="3"/>
  <c r="I9" i="3" s="1"/>
  <c r="J9" i="3" s="1"/>
  <c r="K9" i="3" s="1"/>
  <c r="N9" i="3" s="1"/>
  <c r="M6" i="3"/>
  <c r="O6" i="3" s="1"/>
  <c r="E11" i="3"/>
  <c r="C9" i="1" s="1"/>
  <c r="C13" i="1" s="1"/>
  <c r="K10" i="3"/>
  <c r="N10" i="3" s="1"/>
  <c r="J12" i="2"/>
  <c r="M12" i="2"/>
  <c r="N12" i="2" s="1"/>
  <c r="M5" i="2"/>
  <c r="N5" i="2" s="1"/>
  <c r="J5" i="2"/>
  <c r="O9" i="2"/>
  <c r="Q9" i="2" s="1"/>
  <c r="T9" i="2" s="1"/>
  <c r="O8" i="2"/>
  <c r="Q8" i="2" s="1"/>
  <c r="T8" i="2" s="1"/>
  <c r="O26" i="2"/>
  <c r="Q26" i="2" s="1"/>
  <c r="T26" i="2" s="1"/>
  <c r="O13" i="2"/>
  <c r="Q13" i="2" s="1"/>
  <c r="T13" i="2" s="1"/>
  <c r="G5" i="3"/>
  <c r="I5" i="3" s="1"/>
  <c r="J5" i="3" s="1"/>
  <c r="O30" i="2"/>
  <c r="Q30" i="2" s="1"/>
  <c r="T30" i="2" s="1"/>
  <c r="O31" i="2"/>
  <c r="Q31" i="2" s="1"/>
  <c r="T31" i="2" s="1"/>
  <c r="O11" i="2"/>
  <c r="Q11" i="2" s="1"/>
  <c r="T11" i="2" s="1"/>
  <c r="M14" i="2"/>
  <c r="N14" i="2" s="1"/>
  <c r="J14" i="2"/>
  <c r="M7" i="2"/>
  <c r="N7" i="2" s="1"/>
  <c r="J7" i="2"/>
  <c r="K8" i="3"/>
  <c r="N8" i="3" s="1"/>
  <c r="M7" i="3" l="1"/>
  <c r="O7" i="3" s="1"/>
  <c r="O10" i="2"/>
  <c r="Q10" i="2" s="1"/>
  <c r="T10" i="2" s="1"/>
  <c r="O6" i="2"/>
  <c r="Q6" i="2" s="1"/>
  <c r="T6" i="2" s="1"/>
  <c r="P11" i="2"/>
  <c r="R11" i="2" s="1"/>
  <c r="U11" i="2" s="1"/>
  <c r="W11" i="2" s="1"/>
  <c r="M8" i="3"/>
  <c r="O8" i="3" s="1"/>
  <c r="P13" i="2"/>
  <c r="R13" i="2" s="1"/>
  <c r="U13" i="2" s="1"/>
  <c r="W13" i="2" s="1"/>
  <c r="P31" i="2"/>
  <c r="R31" i="2" s="1"/>
  <c r="U31" i="2" s="1"/>
  <c r="W31" i="2" s="1"/>
  <c r="P8" i="2"/>
  <c r="R8" i="2" s="1"/>
  <c r="U8" i="2" s="1"/>
  <c r="W8" i="2" s="1"/>
  <c r="M9" i="3"/>
  <c r="O9" i="3" s="1"/>
  <c r="M10" i="3"/>
  <c r="O10" i="3" s="1"/>
  <c r="P6" i="2"/>
  <c r="R6" i="2" s="1"/>
  <c r="U6" i="2" s="1"/>
  <c r="W6" i="2" s="1"/>
  <c r="O5" i="2"/>
  <c r="Q5" i="2" s="1"/>
  <c r="T5" i="2" s="1"/>
  <c r="O14" i="2"/>
  <c r="Q14" i="2" s="1"/>
  <c r="T14" i="2" s="1"/>
  <c r="O12" i="2"/>
  <c r="Q12" i="2" s="1"/>
  <c r="T12" i="2" s="1"/>
  <c r="P30" i="2"/>
  <c r="R30" i="2" s="1"/>
  <c r="U30" i="2" s="1"/>
  <c r="W30" i="2" s="1"/>
  <c r="P26" i="2"/>
  <c r="R26" i="2" s="1"/>
  <c r="U26" i="2" s="1"/>
  <c r="W26" i="2" s="1"/>
  <c r="O7" i="2"/>
  <c r="Q7" i="2" s="1"/>
  <c r="T7" i="2" s="1"/>
  <c r="K5" i="3"/>
  <c r="N5" i="3" s="1"/>
  <c r="M5" i="3"/>
  <c r="O5" i="3" s="1"/>
  <c r="P9" i="2"/>
  <c r="R9" i="2" s="1"/>
  <c r="U9" i="2" s="1"/>
  <c r="W9" i="2" s="1"/>
  <c r="P12" i="2" l="1"/>
  <c r="R12" i="2" s="1"/>
  <c r="U12" i="2" s="1"/>
  <c r="P10" i="2"/>
  <c r="R10" i="2" s="1"/>
  <c r="U10" i="2" s="1"/>
  <c r="W10" i="2" s="1"/>
  <c r="W12" i="2"/>
  <c r="O11" i="3"/>
  <c r="P7" i="2"/>
  <c r="R7" i="2" s="1"/>
  <c r="U7" i="2" s="1"/>
  <c r="W7" i="2" s="1"/>
  <c r="P14" i="2"/>
  <c r="R14" i="2" s="1"/>
  <c r="U14" i="2" s="1"/>
  <c r="W14" i="2" s="1"/>
  <c r="P5" i="2"/>
  <c r="R5" i="2" s="1"/>
  <c r="U5" i="2" s="1"/>
  <c r="W5" i="2" s="1"/>
  <c r="W32" i="2" l="1"/>
  <c r="C7" i="1" s="1"/>
  <c r="I4" i="6" l="1"/>
  <c r="J4" i="6" s="1"/>
  <c r="I5" i="6"/>
  <c r="J5" i="6" s="1"/>
  <c r="I6" i="4"/>
  <c r="I5" i="4"/>
  <c r="I4" i="4"/>
  <c r="J5" i="4" l="1"/>
  <c r="K5" i="4" s="1"/>
  <c r="J4" i="4"/>
  <c r="K4" i="4" s="1"/>
  <c r="J6" i="4"/>
  <c r="K6" i="4" s="1"/>
  <c r="J6" i="6"/>
  <c r="K7" i="4" l="1"/>
  <c r="C6" i="1" s="1"/>
  <c r="C4" i="1" s="1"/>
  <c r="C14" i="1" s="1"/>
  <c r="C15" i="1" s="1"/>
  <c r="C18" i="1" s="1"/>
</calcChain>
</file>

<file path=xl/sharedStrings.xml><?xml version="1.0" encoding="utf-8"?>
<sst xmlns="http://schemas.openxmlformats.org/spreadsheetml/2006/main" count="372" uniqueCount="145">
  <si>
    <t>REEMBOLSO MENSAL</t>
  </si>
  <si>
    <t>REEMBOLSO PRELIMINAR</t>
  </si>
  <si>
    <t>REEMBOLSO MENSAL EFETIVO</t>
  </si>
  <si>
    <t>R$</t>
  </si>
  <si>
    <t>CEG</t>
  </si>
  <si>
    <t>GERAÇÃO MENSAL TOTAL</t>
  </si>
  <si>
    <t>MWh</t>
  </si>
  <si>
    <t>COMPENSAÇÃO</t>
  </si>
  <si>
    <t>ACRméd</t>
  </si>
  <si>
    <t>R$/MWh</t>
  </si>
  <si>
    <t>FATOR DE CORTE</t>
  </si>
  <si>
    <t xml:space="preserve"> - </t>
  </si>
  <si>
    <t>SALDANHA</t>
  </si>
  <si>
    <t>MONTE BELO</t>
  </si>
  <si>
    <t>MARTINUV</t>
  </si>
  <si>
    <t>CASCATA CHUPINGUAIA</t>
  </si>
  <si>
    <t>ALTA FLORESTA</t>
  </si>
  <si>
    <t>CACHOEIRA</t>
  </si>
  <si>
    <t>UTE.PE.RO.034416-8.01</t>
  </si>
  <si>
    <t>UTE.PE.RO.034417-6.01</t>
  </si>
  <si>
    <t>UTE.PE.RO.034418-4.01</t>
  </si>
  <si>
    <t>UTE.PE.RO.034419-2.01</t>
  </si>
  <si>
    <t>UTE.PE.RO.034420-6.01</t>
  </si>
  <si>
    <t>UTE.PE.RO.034423-0.01</t>
  </si>
  <si>
    <t>UTE.PE.RO.034424-9.01</t>
  </si>
  <si>
    <t>UTE.PE.RO.034421-4.01</t>
  </si>
  <si>
    <t>UTE.PE.RO.034422-2.01</t>
  </si>
  <si>
    <t>UTE.PE.RO.034425-7.01</t>
  </si>
  <si>
    <t>UTE.PE.RO.032285-7.01</t>
  </si>
  <si>
    <t>UTE CNH ALVORADA</t>
  </si>
  <si>
    <t>UTE.PE.RO.032294-6.01</t>
  </si>
  <si>
    <t>UTE CNH ANARI</t>
  </si>
  <si>
    <t>UTE.PE.RO.032284-9.01</t>
  </si>
  <si>
    <t>UTE CNH BANDEIRANTES</t>
  </si>
  <si>
    <t>UTE.PE.RO.032286-5.01</t>
  </si>
  <si>
    <t>UTE CNH BURITIS</t>
  </si>
  <si>
    <t>UTE.PE.RO.032292-0.01</t>
  </si>
  <si>
    <t>UTE CNH CALIFORNIA</t>
  </si>
  <si>
    <t>UTE.PE.RO.032287-3.01</t>
  </si>
  <si>
    <t>UTE CNH CAMPO NOVO</t>
  </si>
  <si>
    <t>UTE.PE.RO.032289-0.01</t>
  </si>
  <si>
    <t>UTE CNH COSTA MARQUES</t>
  </si>
  <si>
    <t>UTE.PE.RO.032290-3.01</t>
  </si>
  <si>
    <t>UTE CNH CUJUBIM</t>
  </si>
  <si>
    <t>UTE.PE.RO.032296-2.01</t>
  </si>
  <si>
    <t>UTE CNH EXTREMA</t>
  </si>
  <si>
    <t>UTE.PE.RO.032299-7.01</t>
  </si>
  <si>
    <t>UTE CNH IZIDOLANDIA</t>
  </si>
  <si>
    <t>UTE.PE.RO.032291-1.01</t>
  </si>
  <si>
    <t>UTE CNH MACHADINHO</t>
  </si>
  <si>
    <t>UTE.PE.RO.032300-4.01</t>
  </si>
  <si>
    <t>UTE CNH PACARANA</t>
  </si>
  <si>
    <t>UTE.PE.RO.032293-8.01</t>
  </si>
  <si>
    <t>UTE CNH SAO FRANCISCO</t>
  </si>
  <si>
    <t>UTE.PE.RO.032298-9.01</t>
  </si>
  <si>
    <t>UTE CNH URUCUMACUÃ</t>
  </si>
  <si>
    <t>UTE.PE.RO.032297-0.01</t>
  </si>
  <si>
    <t>UTE CNH VISTA ALEGRE</t>
  </si>
  <si>
    <t>CUSTO TOTAL DA GERAÇÃO</t>
  </si>
  <si>
    <t>ENERGISA RO</t>
  </si>
  <si>
    <t>UTE CALAMA</t>
  </si>
  <si>
    <t>UTE CONCEIÇÃO DA GALERA</t>
  </si>
  <si>
    <t>UTE DEMARCAÇÃO</t>
  </si>
  <si>
    <t>UTE MAICI</t>
  </si>
  <si>
    <t>UTE NAZARÉ</t>
  </si>
  <si>
    <t>UTE PEDRAS NEGRAS</t>
  </si>
  <si>
    <t>UTE ROLIM DE MOURA DO GUAPORÉ</t>
  </si>
  <si>
    <t>UTE SANTA CATARINA</t>
  </si>
  <si>
    <t>UTE SÃO CARLOS</t>
  </si>
  <si>
    <t>UTE SURPRESA</t>
  </si>
  <si>
    <t/>
  </si>
  <si>
    <t>BBF</t>
  </si>
  <si>
    <t>CNH</t>
  </si>
  <si>
    <t>UTE.BL.RO.051444-6.01</t>
  </si>
  <si>
    <t>UTE BBF IZIDOLÂNDIA</t>
  </si>
  <si>
    <t>UTE.BL.RO.051450-0.01</t>
  </si>
  <si>
    <t>UTE BBF URUCUMACUÃ</t>
  </si>
  <si>
    <t>HIDROLUZ</t>
  </si>
  <si>
    <t>PCH.PH.RO.002569-0.01</t>
  </si>
  <si>
    <t>CASSOL</t>
  </si>
  <si>
    <t>PCH.PH.RO.027072-5.01</t>
  </si>
  <si>
    <t>CGH.PH.RO.029211-7.01</t>
  </si>
  <si>
    <t>CHUPINGUAIA</t>
  </si>
  <si>
    <t>PCH.PH.RO.029373-3.01</t>
  </si>
  <si>
    <t>ELETRON</t>
  </si>
  <si>
    <t>PCH.PH.RO.000058-2.01</t>
  </si>
  <si>
    <t>JFG</t>
  </si>
  <si>
    <t>PCH.PH.RO.000396-4.01</t>
  </si>
  <si>
    <t>DESCONTO ACR MÉDIO</t>
  </si>
  <si>
    <t>DESCONTO FATOR DE CORTE</t>
  </si>
  <si>
    <t>SIGFI 80</t>
  </si>
  <si>
    <t>SIGFI 45</t>
  </si>
  <si>
    <t>SIGFI 160</t>
  </si>
  <si>
    <t>competência:</t>
  </si>
  <si>
    <t>1 - combustível</t>
  </si>
  <si>
    <t>2 - geração própria</t>
  </si>
  <si>
    <t>3 - contrato</t>
  </si>
  <si>
    <t>4 - frete</t>
  </si>
  <si>
    <t>reembolso mensal CCC - ENERGISA RO</t>
  </si>
  <si>
    <t>beneficiário</t>
  </si>
  <si>
    <t>fornecedor</t>
  </si>
  <si>
    <t>usina</t>
  </si>
  <si>
    <t>geração 
(MWh)</t>
  </si>
  <si>
    <t>valor unitário contrato (R$/MWh)</t>
  </si>
  <si>
    <t>total (geração x valor unitário contrato) (R$)</t>
  </si>
  <si>
    <t>valor total NF (R$)</t>
  </si>
  <si>
    <t>valor considerado (R$)</t>
  </si>
  <si>
    <t>valor unitário considerado (R$/MWh)</t>
  </si>
  <si>
    <t>valor unitário PIS/COFINS considerado (R$)</t>
  </si>
  <si>
    <t>% não recuperado de PIS / COFINS (R$)</t>
  </si>
  <si>
    <t>custo líquido (R$)</t>
  </si>
  <si>
    <t>custo tributo (R$)</t>
  </si>
  <si>
    <t>custo total (R$)</t>
  </si>
  <si>
    <t>ajuste competência anterior</t>
  </si>
  <si>
    <t>potência contratada (kW)</t>
  </si>
  <si>
    <t>valor de receita variável CCESI (R$)</t>
  </si>
  <si>
    <t>valor de receita fixa mensal CCESI (R$)</t>
  </si>
  <si>
    <t>valor de receita de venda CCESI (R$)</t>
  </si>
  <si>
    <t>valor NF bruto (R$)</t>
  </si>
  <si>
    <t>valor unitário NF (R$/MWh)</t>
  </si>
  <si>
    <t>valor considerado CCESI (R$)</t>
  </si>
  <si>
    <t>valor unitário bruto considerado (R$/MWh)</t>
  </si>
  <si>
    <t>valor unitário PIS/COFINS (R$/MWh)</t>
  </si>
  <si>
    <t>valor unitário líquido  considerado (R$/MWh)</t>
  </si>
  <si>
    <t>valor total PIS/COFINS (R$)</t>
  </si>
  <si>
    <t>custo líquido CCESI (R$)</t>
  </si>
  <si>
    <t>% não recuperado de
PIS/COFINS</t>
  </si>
  <si>
    <t>custo PIS / COFINS (R$)</t>
  </si>
  <si>
    <t>modelo</t>
  </si>
  <si>
    <t>potência por unidade (MW)</t>
  </si>
  <si>
    <t>n° de sistemas</t>
  </si>
  <si>
    <t>potência (disponib.) [MWh]/mês</t>
  </si>
  <si>
    <t>custo de O&amp;M atualizado (R$/MWh)</t>
  </si>
  <si>
    <t>custo O&amp;M unitário [R$/MW.h]</t>
  </si>
  <si>
    <t>custo total O&amp;M [R$]</t>
  </si>
  <si>
    <t>desconto (ajuste do mês + penalidade)</t>
  </si>
  <si>
    <t>REEMBOLSO PRELIMINAR BBF DESPACHO N°916/2024</t>
  </si>
  <si>
    <t>custo de O&amp;M - REN 801 (R$/MWh)</t>
  </si>
  <si>
    <t>UFVRO11340002256</t>
  </si>
  <si>
    <t>MIGDI Santo Andre</t>
  </si>
  <si>
    <t>UFVRO11340002257</t>
  </si>
  <si>
    <t>MIGDI Cavalcante</t>
  </si>
  <si>
    <t>IPCA base (09/2025)</t>
  </si>
  <si>
    <t xml:space="preserve">IPCA atualizado </t>
  </si>
  <si>
    <t>Custo anual de manutenção (CAM)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</si>
</sst>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\ h:mm;@"/>
    <numFmt numFmtId="165" formatCode="mmmm/yyyy"/>
    <numFmt numFmtId="166" formatCode="#,##0.000"/>
    <numFmt numFmtId="167" formatCode="_-* #,##0.000_-;\-* #,##0.000_-;_-* &quot;-&quot;??_-;_-@_-"/>
    <numFmt numFmtId="168" formatCode="_-* #,##0_-;\-* #,##0_-;_-* &quot;-&quot;??_-;_-@_-"/>
    <numFmt numFmtId="169" formatCode="_-* #,##0.0_-;\-* #,##0.0_-;_-* &quot;-&quot;??_-;_-@_-"/>
  </numFmts>
  <fonts count="15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u val="double"/>
      <sz val="11"/>
      <color rgb="FF002060"/>
      <name val="Inter"/>
      <family val="2"/>
      <scheme val="minor"/>
    </font>
    <font>
      <b/>
      <sz val="11"/>
      <color theme="1"/>
      <name val="Inter"/>
      <family val="2"/>
      <scheme val="minor"/>
    </font>
    <font>
      <sz val="11"/>
      <color theme="4"/>
      <name val="Inter"/>
      <family val="2"/>
      <scheme val="minor"/>
    </font>
    <font>
      <b/>
      <i/>
      <sz val="12"/>
      <color theme="4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b/>
      <sz val="11"/>
      <color theme="4"/>
      <name val="Inter"/>
      <family val="2"/>
      <scheme val="minor"/>
    </font>
    <font>
      <sz val="11"/>
      <color theme="4"/>
      <name val="Inter"/>
      <family val="3"/>
      <scheme val="minor"/>
    </font>
    <font>
      <b/>
      <u val="double"/>
      <sz val="11"/>
      <color theme="4"/>
      <name val="Inter"/>
      <family val="2"/>
      <scheme val="minor"/>
    </font>
    <font>
      <u val="double"/>
      <sz val="11"/>
      <color theme="4"/>
      <name val="Inter"/>
      <family val="2"/>
      <scheme val="minor"/>
    </font>
    <font>
      <b/>
      <u val="double"/>
      <sz val="11"/>
      <color theme="1"/>
      <name val="Inter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5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center"/>
    </xf>
    <xf numFmtId="43" fontId="0" fillId="0" borderId="0" xfId="4" applyFont="1" applyBorder="1"/>
    <xf numFmtId="43" fontId="0" fillId="0" borderId="0" xfId="0" applyNumberFormat="1"/>
    <xf numFmtId="4" fontId="5" fillId="0" borderId="0" xfId="1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4" fontId="12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6" fontId="14" fillId="0" borderId="0" xfId="1" applyNumberFormat="1" applyFont="1" applyAlignment="1">
      <alignment vertical="center"/>
    </xf>
    <xf numFmtId="4" fontId="14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43" fontId="10" fillId="3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right" vertical="center"/>
    </xf>
    <xf numFmtId="167" fontId="0" fillId="0" borderId="1" xfId="0" applyNumberFormat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43" fontId="11" fillId="4" borderId="1" xfId="0" applyNumberFormat="1" applyFont="1" applyFill="1" applyBorder="1" applyAlignment="1">
      <alignment horizontal="right" vertical="center"/>
    </xf>
    <xf numFmtId="43" fontId="1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10" fontId="0" fillId="0" borderId="1" xfId="1" applyNumberFormat="1" applyFont="1" applyBorder="1" applyAlignment="1">
      <alignment horizontal="right" vertical="center"/>
    </xf>
    <xf numFmtId="43" fontId="10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168" fontId="0" fillId="0" borderId="1" xfId="4" applyNumberFormat="1" applyFont="1" applyBorder="1" applyAlignment="1">
      <alignment horizontal="left" vertical="center"/>
    </xf>
    <xf numFmtId="169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3" fontId="12" fillId="0" borderId="0" xfId="0" applyNumberFormat="1" applyFont="1" applyAlignment="1">
      <alignment vertical="center"/>
    </xf>
  </cellXfs>
  <cellStyles count="5">
    <cellStyle name="Moeda 2" xfId="3" xr:uid="{00000000-0005-0000-0000-000000000000}"/>
    <cellStyle name="Normal" xfId="0" builtinId="0"/>
    <cellStyle name="Porcentagem" xfId="1" builtinId="5"/>
    <cellStyle name="Vírgula" xfId="4" builtinId="3"/>
    <cellStyle name="Vírgula 2" xfId="2" xr:uid="{00000000-0005-0000-0000-000004000000}"/>
  </cellStyles>
  <dxfs count="0"/>
  <tableStyles count="1" defaultTableStyle="TableStyleMedium2" defaultPivotStyle="PivotStyleLight16">
    <tableStyle name="Invisible" pivot="0" table="0" count="0" xr9:uid="{74F89921-EACD-4876-9A6C-3BAAC4FC01D3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00B01689-F253-4353-95A1-C19CFD015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20798" cy="421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76B9395C-0ABA-4AFC-8D14-4B3F6931B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20798" cy="421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2FAB00E0-5FAC-427E-8655-F051979C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20798" cy="421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A687A0AD-C1DC-4CBE-A8C7-29A4AE914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20798" cy="4218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6867484B-9A1B-427F-8BE9-381547F95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" y="161926"/>
          <a:ext cx="1314448" cy="421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topLeftCell="A10" workbookViewId="0">
      <selection activeCell="D18" sqref="D18"/>
    </sheetView>
  </sheetViews>
  <sheetFormatPr defaultColWidth="9.1640625" defaultRowHeight="19.5" customHeight="1"/>
  <cols>
    <col min="1" max="1" width="50.58203125" customWidth="1"/>
    <col min="2" max="2" width="17.33203125" customWidth="1"/>
    <col min="3" max="3" width="21.1640625" customWidth="1"/>
    <col min="4" max="4" width="12.58203125" bestFit="1" customWidth="1"/>
    <col min="5" max="6" width="14.1640625" customWidth="1"/>
  </cols>
  <sheetData>
    <row r="1" spans="1:6" ht="49.5" customHeight="1">
      <c r="B1" s="12"/>
      <c r="C1" s="14" t="s">
        <v>98</v>
      </c>
    </row>
    <row r="2" spans="1:6" ht="19.5" customHeight="1">
      <c r="B2" s="13" t="s">
        <v>93</v>
      </c>
      <c r="C2" s="6">
        <v>46143</v>
      </c>
    </row>
    <row r="3" spans="1:6" ht="19.5" customHeight="1">
      <c r="B3" s="1"/>
      <c r="C3" s="6"/>
    </row>
    <row r="4" spans="1:6" ht="30" customHeight="1">
      <c r="A4" s="25" t="s">
        <v>58</v>
      </c>
      <c r="B4" s="26" t="s">
        <v>3</v>
      </c>
      <c r="C4" s="27">
        <f>SUM(C5:C8)</f>
        <v>7205911.7338772612</v>
      </c>
    </row>
    <row r="5" spans="1:6" ht="16.5" customHeight="1">
      <c r="A5" s="28" t="s">
        <v>94</v>
      </c>
      <c r="B5" s="29" t="s">
        <v>3</v>
      </c>
      <c r="C5" s="30">
        <v>0</v>
      </c>
      <c r="E5" s="8"/>
      <c r="F5" s="9"/>
    </row>
    <row r="6" spans="1:6" ht="16.5" customHeight="1">
      <c r="A6" s="28" t="s">
        <v>95</v>
      </c>
      <c r="B6" s="29" t="s">
        <v>3</v>
      </c>
      <c r="C6" s="30">
        <f>SIGFI!K7+MIGDI!J6</f>
        <v>1967239.21702326</v>
      </c>
      <c r="E6" s="8"/>
      <c r="F6" s="9"/>
    </row>
    <row r="7" spans="1:6" ht="16.5" customHeight="1">
      <c r="A7" s="28" t="s">
        <v>96</v>
      </c>
      <c r="B7" s="29" t="s">
        <v>3</v>
      </c>
      <c r="C7" s="30">
        <f>'CONTRATOS CCVEE'!O11+'CONTRATOS CCESI'!W32+'CONTRATOS CCESI'!V62+'CONTRATOS CCVEE'!O21</f>
        <v>5238672.5168540012</v>
      </c>
      <c r="E7" s="8"/>
      <c r="F7" s="9"/>
    </row>
    <row r="8" spans="1:6" ht="16.5" customHeight="1">
      <c r="A8" s="28" t="s">
        <v>97</v>
      </c>
      <c r="B8" s="29" t="s">
        <v>3</v>
      </c>
      <c r="C8" s="30">
        <v>0</v>
      </c>
      <c r="E8" s="8"/>
      <c r="F8" s="9"/>
    </row>
    <row r="9" spans="1:6" ht="16.5" customHeight="1">
      <c r="A9" s="28" t="s">
        <v>5</v>
      </c>
      <c r="B9" s="29" t="s">
        <v>6</v>
      </c>
      <c r="C9" s="30">
        <f>'CONTRATOS CCVEE'!E11+'CONTRATOS CCESI'!E32+SIGFI!E7+MIGDI!D6</f>
        <v>6591.3994039999998</v>
      </c>
      <c r="E9" s="8"/>
      <c r="F9" s="9"/>
    </row>
    <row r="10" spans="1:6" ht="16.5" customHeight="1">
      <c r="A10" s="28" t="s">
        <v>7</v>
      </c>
      <c r="B10" s="29" t="s">
        <v>3</v>
      </c>
      <c r="C10" s="30">
        <v>0</v>
      </c>
    </row>
    <row r="11" spans="1:6" ht="16.5" customHeight="1">
      <c r="A11" s="28" t="s">
        <v>8</v>
      </c>
      <c r="B11" s="29" t="s">
        <v>9</v>
      </c>
      <c r="C11" s="30">
        <v>342.71</v>
      </c>
      <c r="E11" s="9"/>
      <c r="F11" s="9"/>
    </row>
    <row r="12" spans="1:6" ht="16.5" customHeight="1">
      <c r="A12" s="28" t="s">
        <v>10</v>
      </c>
      <c r="B12" s="29" t="s">
        <v>11</v>
      </c>
      <c r="C12" s="31">
        <v>0.996</v>
      </c>
      <c r="E12" s="9"/>
      <c r="F12" s="9"/>
    </row>
    <row r="13" spans="1:6" ht="16.5" customHeight="1">
      <c r="A13" s="32" t="s">
        <v>88</v>
      </c>
      <c r="B13" s="33" t="s">
        <v>3</v>
      </c>
      <c r="C13" s="34">
        <f>-ROUND(C9*C11,2)</f>
        <v>-2258938.4900000002</v>
      </c>
      <c r="E13" s="9"/>
      <c r="F13" s="9"/>
    </row>
    <row r="14" spans="1:6" ht="16.5" customHeight="1">
      <c r="A14" s="32" t="s">
        <v>89</v>
      </c>
      <c r="B14" s="33" t="s">
        <v>3</v>
      </c>
      <c r="C14" s="34">
        <f>+ROUND((C4+C13)*(C12-1),2)</f>
        <v>-19787.89</v>
      </c>
      <c r="E14" s="9"/>
      <c r="F14" s="9"/>
    </row>
    <row r="15" spans="1:6" ht="16.5" customHeight="1">
      <c r="A15" s="25" t="s">
        <v>0</v>
      </c>
      <c r="B15" s="26" t="s">
        <v>3</v>
      </c>
      <c r="C15" s="35">
        <f>ROUND(C4+C13+C14,2)</f>
        <v>4927185.3499999996</v>
      </c>
      <c r="E15" s="9"/>
      <c r="F15" s="9"/>
    </row>
    <row r="16" spans="1:6" ht="16.5" customHeight="1">
      <c r="A16" s="25" t="s">
        <v>1</v>
      </c>
      <c r="B16" s="26" t="s">
        <v>3</v>
      </c>
      <c r="C16" s="35">
        <v>0</v>
      </c>
      <c r="E16" s="9"/>
      <c r="F16" s="9"/>
    </row>
    <row r="17" spans="1:6" ht="19.5" customHeight="1">
      <c r="A17" s="25" t="s">
        <v>136</v>
      </c>
      <c r="B17" s="26" t="s">
        <v>3</v>
      </c>
      <c r="C17" s="35">
        <v>0</v>
      </c>
      <c r="E17" s="9"/>
      <c r="F17" s="9"/>
    </row>
    <row r="18" spans="1:6" ht="16.5" customHeight="1">
      <c r="A18" s="25" t="s">
        <v>2</v>
      </c>
      <c r="B18" s="26" t="s">
        <v>3</v>
      </c>
      <c r="C18" s="35">
        <f>ROUND(C15-C16-C17,2)</f>
        <v>4927185.3499999996</v>
      </c>
      <c r="D18" s="9"/>
      <c r="F18" s="9"/>
    </row>
    <row r="19" spans="1:6" ht="16.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"/>
  <sheetViews>
    <sheetView showGridLines="0" topLeftCell="A2" workbookViewId="0">
      <selection activeCell="A4" sqref="A4"/>
    </sheetView>
  </sheetViews>
  <sheetFormatPr defaultRowHeight="19.5" customHeight="1"/>
  <cols>
    <col min="1" max="4" width="30.6640625" customWidth="1"/>
    <col min="5" max="15" width="16.1640625" customWidth="1"/>
    <col min="16" max="22" width="20.6640625" customWidth="1"/>
    <col min="23" max="25" width="16.1640625" customWidth="1"/>
  </cols>
  <sheetData>
    <row r="1" spans="1:21" ht="49.5" customHeight="1">
      <c r="C1" s="19" t="str">
        <f>RESUMO!C1</f>
        <v>reembolso mensal CCC - ENERGISA RO</v>
      </c>
    </row>
    <row r="2" spans="1:21" ht="30" customHeight="1">
      <c r="C2" s="20" t="s">
        <v>93</v>
      </c>
      <c r="D2" s="7">
        <f>RESUMO!C2</f>
        <v>46143</v>
      </c>
      <c r="P2" s="4"/>
      <c r="Q2" s="4"/>
      <c r="R2" s="4"/>
      <c r="S2" s="4"/>
      <c r="T2" s="4"/>
      <c r="U2" s="4"/>
    </row>
    <row r="3" spans="1:21" ht="15.5">
      <c r="C3" s="3"/>
      <c r="D3" s="7"/>
      <c r="P3" s="4"/>
      <c r="Q3" s="4"/>
      <c r="R3" s="4"/>
      <c r="S3" s="4"/>
      <c r="T3" s="4"/>
      <c r="U3" s="4"/>
    </row>
    <row r="4" spans="1:21" s="5" customFormat="1" ht="60" customHeight="1">
      <c r="A4" s="36" t="s">
        <v>99</v>
      </c>
      <c r="B4" s="36" t="s">
        <v>100</v>
      </c>
      <c r="C4" s="36" t="s">
        <v>4</v>
      </c>
      <c r="D4" s="36" t="s">
        <v>101</v>
      </c>
      <c r="E4" s="36" t="s">
        <v>102</v>
      </c>
      <c r="F4" s="36" t="s">
        <v>103</v>
      </c>
      <c r="G4" s="36" t="s">
        <v>104</v>
      </c>
      <c r="H4" s="36" t="s">
        <v>105</v>
      </c>
      <c r="I4" s="36" t="s">
        <v>106</v>
      </c>
      <c r="J4" s="36" t="s">
        <v>107</v>
      </c>
      <c r="K4" s="36" t="s">
        <v>108</v>
      </c>
      <c r="L4" s="36" t="s">
        <v>109</v>
      </c>
      <c r="M4" s="36" t="s">
        <v>110</v>
      </c>
      <c r="N4" s="36" t="s">
        <v>111</v>
      </c>
      <c r="O4" s="36" t="s">
        <v>112</v>
      </c>
      <c r="P4" s="4"/>
      <c r="Q4" s="4"/>
      <c r="R4" s="4"/>
    </row>
    <row r="5" spans="1:21" s="5" customFormat="1" ht="20.149999999999999" customHeight="1">
      <c r="A5" s="29" t="s">
        <v>59</v>
      </c>
      <c r="B5" s="29" t="s">
        <v>77</v>
      </c>
      <c r="C5" s="29" t="s">
        <v>78</v>
      </c>
      <c r="D5" s="29" t="s">
        <v>12</v>
      </c>
      <c r="E5" s="37">
        <v>0</v>
      </c>
      <c r="F5" s="38">
        <v>0</v>
      </c>
      <c r="G5" s="38">
        <f>F5*E5</f>
        <v>0</v>
      </c>
      <c r="H5" s="38">
        <v>0</v>
      </c>
      <c r="I5" s="38">
        <f t="shared" ref="I5:I10" si="0">MIN(G5:H5)</f>
        <v>0</v>
      </c>
      <c r="J5" s="38">
        <f t="shared" ref="J5" si="1">IF(E5=0,0,ROUND(I5/E5,6))</f>
        <v>0</v>
      </c>
      <c r="K5" s="38">
        <f t="shared" ref="K5" si="2">ROUND(J5*0.0925,6)</f>
        <v>0</v>
      </c>
      <c r="L5" s="39">
        <v>1</v>
      </c>
      <c r="M5" s="38">
        <f>ROUND((J5-K5)*E5,6)</f>
        <v>0</v>
      </c>
      <c r="N5" s="38">
        <f t="shared" ref="N5" si="3">ROUND(K5*E5*L5,6)</f>
        <v>0</v>
      </c>
      <c r="O5" s="38">
        <f t="shared" ref="O5" si="4">SUM(M5:N5)</f>
        <v>0</v>
      </c>
      <c r="P5" s="4"/>
      <c r="Q5" s="4"/>
      <c r="R5" s="4"/>
    </row>
    <row r="6" spans="1:21" s="5" customFormat="1" ht="20.149999999999999" customHeight="1">
      <c r="A6" s="29" t="s">
        <v>59</v>
      </c>
      <c r="B6" s="29" t="s">
        <v>79</v>
      </c>
      <c r="C6" s="29" t="s">
        <v>80</v>
      </c>
      <c r="D6" s="29" t="s">
        <v>13</v>
      </c>
      <c r="E6" s="37">
        <v>0</v>
      </c>
      <c r="F6" s="38">
        <v>327.830645</v>
      </c>
      <c r="G6" s="38">
        <f t="shared" ref="G6:G10" si="5">F6*E6</f>
        <v>0</v>
      </c>
      <c r="H6" s="38">
        <v>0</v>
      </c>
      <c r="I6" s="38">
        <f t="shared" si="0"/>
        <v>0</v>
      </c>
      <c r="J6" s="38">
        <f t="shared" ref="J6:J10" si="6">IF(E6=0,0,ROUND(I6/E6,6))</f>
        <v>0</v>
      </c>
      <c r="K6" s="38">
        <f t="shared" ref="K6:K10" si="7">ROUND(J6*0.0925,6)</f>
        <v>0</v>
      </c>
      <c r="L6" s="39">
        <v>1</v>
      </c>
      <c r="M6" s="38">
        <f t="shared" ref="M6:M10" si="8">ROUND((J6-K6)*E6,6)</f>
        <v>0</v>
      </c>
      <c r="N6" s="38">
        <f t="shared" ref="N6:N10" si="9">ROUND(K6*E6*L6,6)</f>
        <v>0</v>
      </c>
      <c r="O6" s="38">
        <f t="shared" ref="O6:O10" si="10">SUM(M6:N6)</f>
        <v>0</v>
      </c>
      <c r="P6" s="4"/>
      <c r="Q6" s="4"/>
      <c r="R6" s="4"/>
    </row>
    <row r="7" spans="1:21" s="5" customFormat="1" ht="20.149999999999999" customHeight="1">
      <c r="A7" s="29" t="s">
        <v>59</v>
      </c>
      <c r="B7" s="29" t="s">
        <v>14</v>
      </c>
      <c r="C7" s="29" t="s">
        <v>81</v>
      </c>
      <c r="D7" s="29" t="s">
        <v>14</v>
      </c>
      <c r="E7" s="37">
        <v>987.36199999999997</v>
      </c>
      <c r="F7" s="38">
        <v>300.71916199999998</v>
      </c>
      <c r="G7" s="38">
        <f t="shared" si="5"/>
        <v>296918.67323064397</v>
      </c>
      <c r="H7" s="38">
        <v>296918.67323064397</v>
      </c>
      <c r="I7" s="38">
        <f t="shared" si="0"/>
        <v>296918.67323064397</v>
      </c>
      <c r="J7" s="38">
        <f t="shared" si="6"/>
        <v>300.71916199999998</v>
      </c>
      <c r="K7" s="38">
        <f t="shared" si="7"/>
        <v>27.816521999999999</v>
      </c>
      <c r="L7" s="39">
        <v>1</v>
      </c>
      <c r="M7" s="38">
        <f t="shared" si="8"/>
        <v>269453.696436</v>
      </c>
      <c r="N7" s="38">
        <f t="shared" si="9"/>
        <v>27464.976794999999</v>
      </c>
      <c r="O7" s="38">
        <f t="shared" si="10"/>
        <v>296918.67323100002</v>
      </c>
      <c r="P7" s="4"/>
      <c r="Q7" s="4"/>
      <c r="R7" s="4"/>
    </row>
    <row r="8" spans="1:21" s="5" customFormat="1" ht="20.149999999999999" customHeight="1">
      <c r="A8" s="29" t="s">
        <v>59</v>
      </c>
      <c r="B8" s="29" t="s">
        <v>82</v>
      </c>
      <c r="C8" s="29" t="s">
        <v>83</v>
      </c>
      <c r="D8" s="29" t="s">
        <v>15</v>
      </c>
      <c r="E8" s="37">
        <v>4300</v>
      </c>
      <c r="F8" s="38">
        <v>369.50900200000001</v>
      </c>
      <c r="G8" s="38">
        <f t="shared" si="5"/>
        <v>1588888.7086</v>
      </c>
      <c r="H8" s="38">
        <v>1588888.7086</v>
      </c>
      <c r="I8" s="38">
        <f t="shared" si="0"/>
        <v>1588888.7086</v>
      </c>
      <c r="J8" s="38">
        <f t="shared" si="6"/>
        <v>369.50900200000001</v>
      </c>
      <c r="K8" s="38">
        <f t="shared" si="7"/>
        <v>34.179583000000001</v>
      </c>
      <c r="L8" s="39">
        <v>1</v>
      </c>
      <c r="M8" s="38">
        <f t="shared" si="8"/>
        <v>1441916.5016999999</v>
      </c>
      <c r="N8" s="38">
        <f t="shared" si="9"/>
        <v>146972.20689999999</v>
      </c>
      <c r="O8" s="38">
        <f t="shared" si="10"/>
        <v>1588888.7086</v>
      </c>
      <c r="P8" s="4"/>
      <c r="Q8" s="4"/>
      <c r="R8" s="4"/>
    </row>
    <row r="9" spans="1:21" s="5" customFormat="1" ht="20.149999999999999" customHeight="1">
      <c r="A9" s="29" t="s">
        <v>59</v>
      </c>
      <c r="B9" s="29" t="s">
        <v>84</v>
      </c>
      <c r="C9" s="29" t="s">
        <v>85</v>
      </c>
      <c r="D9" s="29" t="s">
        <v>16</v>
      </c>
      <c r="E9" s="37">
        <v>0</v>
      </c>
      <c r="F9" s="38">
        <v>0</v>
      </c>
      <c r="G9" s="38">
        <f t="shared" si="5"/>
        <v>0</v>
      </c>
      <c r="H9" s="38">
        <v>0</v>
      </c>
      <c r="I9" s="38">
        <f t="shared" si="0"/>
        <v>0</v>
      </c>
      <c r="J9" s="38">
        <f t="shared" si="6"/>
        <v>0</v>
      </c>
      <c r="K9" s="38">
        <f t="shared" si="7"/>
        <v>0</v>
      </c>
      <c r="L9" s="39">
        <v>1</v>
      </c>
      <c r="M9" s="38">
        <f t="shared" si="8"/>
        <v>0</v>
      </c>
      <c r="N9" s="38">
        <f t="shared" si="9"/>
        <v>0</v>
      </c>
      <c r="O9" s="38">
        <f t="shared" si="10"/>
        <v>0</v>
      </c>
      <c r="P9" s="4"/>
      <c r="Q9" s="4"/>
      <c r="R9" s="4"/>
    </row>
    <row r="10" spans="1:21" s="5" customFormat="1" ht="20.149999999999999" customHeight="1">
      <c r="A10" s="29" t="s">
        <v>59</v>
      </c>
      <c r="B10" s="29" t="s">
        <v>86</v>
      </c>
      <c r="C10" s="29" t="s">
        <v>87</v>
      </c>
      <c r="D10" s="29" t="s">
        <v>17</v>
      </c>
      <c r="E10" s="37">
        <v>0</v>
      </c>
      <c r="F10" s="38">
        <v>235.32731699999999</v>
      </c>
      <c r="G10" s="38">
        <f t="shared" si="5"/>
        <v>0</v>
      </c>
      <c r="H10" s="38">
        <v>0</v>
      </c>
      <c r="I10" s="38">
        <f t="shared" si="0"/>
        <v>0</v>
      </c>
      <c r="J10" s="38">
        <f t="shared" si="6"/>
        <v>0</v>
      </c>
      <c r="K10" s="38">
        <f t="shared" si="7"/>
        <v>0</v>
      </c>
      <c r="L10" s="39">
        <v>1</v>
      </c>
      <c r="M10" s="38">
        <f t="shared" si="8"/>
        <v>0</v>
      </c>
      <c r="N10" s="38">
        <f t="shared" si="9"/>
        <v>0</v>
      </c>
      <c r="O10" s="38">
        <f t="shared" si="10"/>
        <v>0</v>
      </c>
      <c r="P10" s="4"/>
      <c r="Q10" s="4"/>
      <c r="R10" s="4"/>
    </row>
    <row r="11" spans="1:21" s="12" customFormat="1" ht="19.5" customHeight="1">
      <c r="E11" s="16">
        <f>SUM(E5:E10)</f>
        <v>5287.3620000000001</v>
      </c>
      <c r="F11" s="17"/>
      <c r="G11" s="17"/>
      <c r="H11" s="18">
        <f>SUM(H5:H10)</f>
        <v>1885807.3818306439</v>
      </c>
      <c r="O11" s="18">
        <f>SUM(O5:O10)</f>
        <v>1885807.3818310001</v>
      </c>
    </row>
    <row r="14" spans="1:21" ht="60" customHeight="1"/>
    <row r="15" spans="1:21" ht="20.149999999999999" customHeight="1"/>
    <row r="16" spans="1:21" ht="20.149999999999999" customHeight="1"/>
    <row r="17" ht="20.149999999999999" customHeight="1"/>
    <row r="18" ht="20.149999999999999" customHeight="1"/>
    <row r="19" ht="20.149999999999999" customHeight="1"/>
    <row r="20" ht="20.149999999999999" customHeight="1"/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2"/>
  <sheetViews>
    <sheetView showGridLines="0" workbookViewId="0">
      <selection activeCell="A4" sqref="A4"/>
    </sheetView>
  </sheetViews>
  <sheetFormatPr defaultRowHeight="19.5" customHeight="1"/>
  <cols>
    <col min="1" max="1" width="30.6640625" customWidth="1"/>
    <col min="2" max="2" width="20" customWidth="1"/>
    <col min="3" max="3" width="25.6640625" customWidth="1"/>
    <col min="4" max="4" width="33.1640625" customWidth="1"/>
    <col min="5" max="22" width="16.6640625" customWidth="1"/>
    <col min="23" max="26" width="20.6640625" customWidth="1"/>
    <col min="27" max="33" width="16.1640625" customWidth="1"/>
  </cols>
  <sheetData>
    <row r="1" spans="1:26" ht="49.5" customHeight="1">
      <c r="C1" s="19" t="str">
        <f>RESUMO!C1</f>
        <v>reembolso mensal CCC - ENERGISA RO</v>
      </c>
    </row>
    <row r="2" spans="1:26" ht="30" customHeight="1">
      <c r="A2" s="4"/>
      <c r="B2" s="4"/>
      <c r="C2" s="20" t="s">
        <v>93</v>
      </c>
      <c r="D2" s="7">
        <f>RESUMO!C2</f>
        <v>46143</v>
      </c>
      <c r="F2" s="2"/>
      <c r="G2" s="2"/>
      <c r="H2" s="2"/>
      <c r="I2" s="2"/>
      <c r="J2" s="2"/>
      <c r="K2" s="2"/>
      <c r="L2" s="2"/>
    </row>
    <row r="3" spans="1:26" ht="15.5">
      <c r="A3" s="4"/>
      <c r="B3" s="4"/>
      <c r="C3" s="3"/>
      <c r="D3" s="7"/>
      <c r="F3" s="2"/>
      <c r="G3" s="2"/>
      <c r="H3" s="2"/>
      <c r="I3" s="2"/>
      <c r="J3" s="2"/>
      <c r="K3" s="2"/>
      <c r="L3" s="2"/>
    </row>
    <row r="4" spans="1:26" s="5" customFormat="1" ht="60" customHeight="1">
      <c r="A4" s="36" t="s">
        <v>99</v>
      </c>
      <c r="B4" s="36" t="s">
        <v>100</v>
      </c>
      <c r="C4" s="36" t="s">
        <v>4</v>
      </c>
      <c r="D4" s="36" t="s">
        <v>101</v>
      </c>
      <c r="E4" s="36" t="s">
        <v>102</v>
      </c>
      <c r="F4" s="36" t="s">
        <v>114</v>
      </c>
      <c r="G4" s="36" t="s">
        <v>115</v>
      </c>
      <c r="H4" s="36" t="s">
        <v>116</v>
      </c>
      <c r="I4" s="36" t="s">
        <v>117</v>
      </c>
      <c r="J4" s="36" t="s">
        <v>103</v>
      </c>
      <c r="K4" s="36" t="s">
        <v>118</v>
      </c>
      <c r="L4" s="36" t="s">
        <v>119</v>
      </c>
      <c r="M4" s="36" t="s">
        <v>120</v>
      </c>
      <c r="N4" s="36" t="s">
        <v>121</v>
      </c>
      <c r="O4" s="40" t="s">
        <v>122</v>
      </c>
      <c r="P4" s="40" t="s">
        <v>123</v>
      </c>
      <c r="Q4" s="40" t="s">
        <v>124</v>
      </c>
      <c r="R4" s="40" t="s">
        <v>125</v>
      </c>
      <c r="S4" s="40" t="s">
        <v>126</v>
      </c>
      <c r="T4" s="40" t="s">
        <v>127</v>
      </c>
      <c r="U4" s="40" t="s">
        <v>110</v>
      </c>
      <c r="V4" s="40" t="s">
        <v>135</v>
      </c>
      <c r="W4" s="40" t="s">
        <v>112</v>
      </c>
      <c r="X4" s="4"/>
      <c r="Y4" s="4"/>
      <c r="Z4" s="4"/>
    </row>
    <row r="5" spans="1:26" s="5" customFormat="1" ht="20.149999999999999" customHeight="1">
      <c r="A5" s="29" t="s">
        <v>59</v>
      </c>
      <c r="B5" s="29" t="s">
        <v>71</v>
      </c>
      <c r="C5" s="29" t="s">
        <v>18</v>
      </c>
      <c r="D5" s="29" t="s">
        <v>60</v>
      </c>
      <c r="E5" s="37">
        <v>196.12450000000001</v>
      </c>
      <c r="F5" s="41">
        <v>1694</v>
      </c>
      <c r="G5" s="38">
        <v>459220.94332278456</v>
      </c>
      <c r="H5" s="38">
        <v>271626.32586300001</v>
      </c>
      <c r="I5" s="38">
        <f>SUM(G5:H5)</f>
        <v>730847.26918578451</v>
      </c>
      <c r="J5" s="38">
        <f>IF(E5=0,0,I5/E5)</f>
        <v>3726.4455444668283</v>
      </c>
      <c r="K5" s="38">
        <v>730569.78</v>
      </c>
      <c r="L5" s="38">
        <v>3725.0306820412543</v>
      </c>
      <c r="M5" s="38">
        <f t="shared" ref="M5" si="0">MIN(I5,K5)</f>
        <v>730569.78</v>
      </c>
      <c r="N5" s="38">
        <f>IF(E5=0,0,M5/E5)</f>
        <v>3725.0306820412543</v>
      </c>
      <c r="O5" s="42">
        <f>N5*0.0925</f>
        <v>344.56533808881602</v>
      </c>
      <c r="P5" s="42">
        <f>N5-O5</f>
        <v>3380.4653439524382</v>
      </c>
      <c r="Q5" s="42">
        <f t="shared" ref="Q5" si="1">E5*O5</f>
        <v>67577.70465</v>
      </c>
      <c r="R5" s="42">
        <f>ROUND(E5*P5,6)</f>
        <v>662992.07535000006</v>
      </c>
      <c r="S5" s="43">
        <v>1</v>
      </c>
      <c r="T5" s="42">
        <f>ROUND(Q5*S5,6)</f>
        <v>67577.70465</v>
      </c>
      <c r="U5" s="42">
        <f>R5</f>
        <v>662992.07535000006</v>
      </c>
      <c r="V5" s="42">
        <v>-9903.17</v>
      </c>
      <c r="W5" s="42">
        <f>SUM(T5:V5)</f>
        <v>720666.61</v>
      </c>
      <c r="X5" s="4"/>
      <c r="Y5" s="4"/>
      <c r="Z5" s="4"/>
    </row>
    <row r="6" spans="1:26" s="5" customFormat="1" ht="20.149999999999999" customHeight="1">
      <c r="A6" s="29" t="s">
        <v>59</v>
      </c>
      <c r="B6" s="29" t="s">
        <v>71</v>
      </c>
      <c r="C6" s="29" t="s">
        <v>19</v>
      </c>
      <c r="D6" s="29" t="s">
        <v>61</v>
      </c>
      <c r="E6" s="37">
        <v>8.8866899999999998</v>
      </c>
      <c r="F6" s="41">
        <v>198</v>
      </c>
      <c r="G6" s="38">
        <v>22267.53515661633</v>
      </c>
      <c r="H6" s="38">
        <v>11954.046503</v>
      </c>
      <c r="I6" s="38">
        <f t="shared" ref="I6:I31" si="2">SUM(G6:H6)</f>
        <v>34221.581659616328</v>
      </c>
      <c r="J6" s="38">
        <f t="shared" ref="J6:J31" si="3">IF(E6=0,0,I6/E6)</f>
        <v>3850.8805482824682</v>
      </c>
      <c r="K6" s="38">
        <v>34208.11</v>
      </c>
      <c r="L6" s="38">
        <v>3849.3602799689429</v>
      </c>
      <c r="M6" s="38">
        <f t="shared" ref="M6:M31" si="4">MIN(I6,K6)</f>
        <v>34208.11</v>
      </c>
      <c r="N6" s="38">
        <f t="shared" ref="N6:N31" si="5">IF(E6=0,0,M6/E6)</f>
        <v>3849.3646115707875</v>
      </c>
      <c r="O6" s="42">
        <f t="shared" ref="O6:O31" si="6">N6*0.0925</f>
        <v>356.06622657029783</v>
      </c>
      <c r="P6" s="42">
        <f t="shared" ref="P6:P31" si="7">N6-O6</f>
        <v>3493.2983850004898</v>
      </c>
      <c r="Q6" s="42">
        <f t="shared" ref="Q6:Q31" si="8">E6*O6</f>
        <v>3164.2501750000001</v>
      </c>
      <c r="R6" s="42">
        <f t="shared" ref="R6:R31" si="9">ROUND(E6*P6,6)</f>
        <v>31043.859825</v>
      </c>
      <c r="S6" s="43">
        <v>1</v>
      </c>
      <c r="T6" s="42">
        <f t="shared" ref="T6:T31" si="10">ROUND(Q6*S6,6)</f>
        <v>3164.2501750000001</v>
      </c>
      <c r="U6" s="42">
        <f t="shared" ref="U6:U31" si="11">R6</f>
        <v>31043.859825</v>
      </c>
      <c r="V6" s="42">
        <v>-534.54</v>
      </c>
      <c r="W6" s="42">
        <f t="shared" ref="W6:W31" si="12">SUM(T6:V6)</f>
        <v>33673.57</v>
      </c>
      <c r="X6" s="4"/>
      <c r="Y6" s="4"/>
      <c r="Z6" s="4"/>
    </row>
    <row r="7" spans="1:26" s="5" customFormat="1" ht="20.149999999999999" customHeight="1">
      <c r="A7" s="29" t="s">
        <v>59</v>
      </c>
      <c r="B7" s="29" t="s">
        <v>71</v>
      </c>
      <c r="C7" s="29" t="s">
        <v>20</v>
      </c>
      <c r="D7" s="29" t="s">
        <v>62</v>
      </c>
      <c r="E7" s="37">
        <v>26.474640000000001</v>
      </c>
      <c r="F7" s="41">
        <v>286</v>
      </c>
      <c r="G7" s="38">
        <v>66337.97026325448</v>
      </c>
      <c r="H7" s="38">
        <v>26602.934255</v>
      </c>
      <c r="I7" s="38">
        <f t="shared" si="2"/>
        <v>92940.90451825448</v>
      </c>
      <c r="J7" s="38">
        <f t="shared" si="3"/>
        <v>3510.5634871051875</v>
      </c>
      <c r="K7" s="38">
        <v>92900.77</v>
      </c>
      <c r="L7" s="38">
        <v>3509.0528279936243</v>
      </c>
      <c r="M7" s="38">
        <f t="shared" si="4"/>
        <v>92900.77</v>
      </c>
      <c r="N7" s="38">
        <f t="shared" si="5"/>
        <v>3509.0475262364284</v>
      </c>
      <c r="O7" s="42">
        <f t="shared" si="6"/>
        <v>324.58689617686963</v>
      </c>
      <c r="P7" s="42">
        <f t="shared" si="7"/>
        <v>3184.4606300595588</v>
      </c>
      <c r="Q7" s="42">
        <f t="shared" si="8"/>
        <v>8593.3212249999997</v>
      </c>
      <c r="R7" s="42">
        <f t="shared" si="9"/>
        <v>84307.448774999997</v>
      </c>
      <c r="S7" s="43">
        <v>1</v>
      </c>
      <c r="T7" s="42">
        <f t="shared" si="10"/>
        <v>8593.3212249999997</v>
      </c>
      <c r="U7" s="42">
        <f t="shared" si="11"/>
        <v>84307.448774999997</v>
      </c>
      <c r="V7" s="42">
        <v>-1624.95</v>
      </c>
      <c r="W7" s="42">
        <f t="shared" si="12"/>
        <v>91275.819999999992</v>
      </c>
      <c r="X7" s="4"/>
      <c r="Y7" s="4"/>
      <c r="Z7" s="4"/>
    </row>
    <row r="8" spans="1:26" s="5" customFormat="1" ht="20.149999999999999" customHeight="1">
      <c r="A8" s="29" t="s">
        <v>59</v>
      </c>
      <c r="B8" s="29" t="s">
        <v>71</v>
      </c>
      <c r="C8" s="29" t="s">
        <v>21</v>
      </c>
      <c r="D8" s="29" t="s">
        <v>63</v>
      </c>
      <c r="E8" s="37">
        <v>0.71128999999999998</v>
      </c>
      <c r="F8" s="41">
        <v>77</v>
      </c>
      <c r="G8" s="38">
        <v>1782.2918411185299</v>
      </c>
      <c r="H8" s="38">
        <v>4422.3060569999998</v>
      </c>
      <c r="I8" s="38">
        <f t="shared" si="2"/>
        <v>6204.5978981185299</v>
      </c>
      <c r="J8" s="38">
        <f t="shared" si="3"/>
        <v>8723.0214091559428</v>
      </c>
      <c r="K8" s="38">
        <v>6203.52</v>
      </c>
      <c r="L8" s="38">
        <v>8721.3833825390138</v>
      </c>
      <c r="M8" s="38">
        <f t="shared" si="4"/>
        <v>6203.52</v>
      </c>
      <c r="N8" s="38">
        <f t="shared" si="5"/>
        <v>8721.5059961478455</v>
      </c>
      <c r="O8" s="42">
        <f t="shared" si="6"/>
        <v>806.73930464367572</v>
      </c>
      <c r="P8" s="42">
        <f t="shared" si="7"/>
        <v>7914.76669150417</v>
      </c>
      <c r="Q8" s="42">
        <f t="shared" si="8"/>
        <v>573.82560000000012</v>
      </c>
      <c r="R8" s="42">
        <f t="shared" si="9"/>
        <v>5629.6944000000003</v>
      </c>
      <c r="S8" s="43">
        <v>1</v>
      </c>
      <c r="T8" s="42">
        <f t="shared" si="10"/>
        <v>573.82560000000001</v>
      </c>
      <c r="U8" s="42">
        <f t="shared" si="11"/>
        <v>5629.6944000000003</v>
      </c>
      <c r="V8" s="42">
        <v>-11.14</v>
      </c>
      <c r="W8" s="42">
        <f t="shared" si="12"/>
        <v>6192.38</v>
      </c>
      <c r="X8" s="4"/>
      <c r="Y8" s="4"/>
      <c r="Z8" s="4"/>
    </row>
    <row r="9" spans="1:26" s="5" customFormat="1" ht="20.149999999999999" customHeight="1">
      <c r="A9" s="29" t="s">
        <v>59</v>
      </c>
      <c r="B9" s="29" t="s">
        <v>71</v>
      </c>
      <c r="C9" s="29" t="s">
        <v>22</v>
      </c>
      <c r="D9" s="29" t="s">
        <v>64</v>
      </c>
      <c r="E9" s="37">
        <v>86.62567</v>
      </c>
      <c r="F9" s="41">
        <v>742</v>
      </c>
      <c r="G9" s="38">
        <v>202831.98628100127</v>
      </c>
      <c r="H9" s="38">
        <v>70964.192066000003</v>
      </c>
      <c r="I9" s="38">
        <f t="shared" si="2"/>
        <v>273796.17834700126</v>
      </c>
      <c r="J9" s="38">
        <f t="shared" si="3"/>
        <v>3160.6817972894323</v>
      </c>
      <c r="K9" s="38">
        <v>273673.62</v>
      </c>
      <c r="L9" s="38">
        <v>3159.2658991500216</v>
      </c>
      <c r="M9" s="38">
        <f t="shared" si="4"/>
        <v>273673.62</v>
      </c>
      <c r="N9" s="38">
        <f t="shared" si="5"/>
        <v>3159.2669932596191</v>
      </c>
      <c r="O9" s="42">
        <f t="shared" si="6"/>
        <v>292.23219687651476</v>
      </c>
      <c r="P9" s="42">
        <f t="shared" si="7"/>
        <v>2867.0347963831045</v>
      </c>
      <c r="Q9" s="42">
        <f t="shared" si="8"/>
        <v>25314.809849999998</v>
      </c>
      <c r="R9" s="42">
        <f t="shared" si="9"/>
        <v>248358.81015</v>
      </c>
      <c r="S9" s="43">
        <v>1</v>
      </c>
      <c r="T9" s="42">
        <f t="shared" si="10"/>
        <v>25314.809850000001</v>
      </c>
      <c r="U9" s="42">
        <f t="shared" si="11"/>
        <v>248358.81015</v>
      </c>
      <c r="V9" s="42">
        <v>-4799.3599999999997</v>
      </c>
      <c r="W9" s="42">
        <f t="shared" si="12"/>
        <v>268874.26</v>
      </c>
      <c r="X9" s="4"/>
      <c r="Y9" s="4"/>
      <c r="Z9" s="4"/>
    </row>
    <row r="10" spans="1:26" s="5" customFormat="1" ht="20.149999999999999" customHeight="1">
      <c r="A10" s="29" t="s">
        <v>59</v>
      </c>
      <c r="B10" s="29" t="s">
        <v>71</v>
      </c>
      <c r="C10" s="29" t="s">
        <v>23</v>
      </c>
      <c r="D10" s="29" t="s">
        <v>65</v>
      </c>
      <c r="E10" s="37">
        <v>20.876240000000003</v>
      </c>
      <c r="F10" s="41">
        <v>232</v>
      </c>
      <c r="G10" s="38">
        <v>52309.961092145684</v>
      </c>
      <c r="H10" s="38">
        <v>19416.687620000001</v>
      </c>
      <c r="I10" s="38">
        <f t="shared" si="2"/>
        <v>71726.648712145688</v>
      </c>
      <c r="J10" s="38">
        <f t="shared" si="3"/>
        <v>3435.8030331202208</v>
      </c>
      <c r="K10" s="38">
        <v>71695</v>
      </c>
      <c r="L10" s="38">
        <v>3434.2935974937968</v>
      </c>
      <c r="M10" s="38">
        <f t="shared" si="4"/>
        <v>71695</v>
      </c>
      <c r="N10" s="38">
        <f t="shared" si="5"/>
        <v>3434.2870172023308</v>
      </c>
      <c r="O10" s="42">
        <f t="shared" si="6"/>
        <v>317.67154909121558</v>
      </c>
      <c r="P10" s="42">
        <f t="shared" si="7"/>
        <v>3116.6154681111152</v>
      </c>
      <c r="Q10" s="42">
        <f t="shared" si="8"/>
        <v>6631.7874999999995</v>
      </c>
      <c r="R10" s="42">
        <f t="shared" si="9"/>
        <v>65063.212500000001</v>
      </c>
      <c r="S10" s="43">
        <v>1</v>
      </c>
      <c r="T10" s="42">
        <f t="shared" si="10"/>
        <v>6631.7875000000004</v>
      </c>
      <c r="U10" s="42">
        <f t="shared" si="11"/>
        <v>65063.212500000001</v>
      </c>
      <c r="V10" s="42">
        <v>-1244.6300000000001</v>
      </c>
      <c r="W10" s="42">
        <f t="shared" si="12"/>
        <v>70450.37</v>
      </c>
      <c r="X10" s="4"/>
      <c r="Y10" s="4"/>
      <c r="Z10" s="4"/>
    </row>
    <row r="11" spans="1:26" s="5" customFormat="1" ht="20.149999999999999" customHeight="1">
      <c r="A11" s="29" t="s">
        <v>59</v>
      </c>
      <c r="B11" s="29" t="s">
        <v>71</v>
      </c>
      <c r="C11" s="29" t="s">
        <v>24</v>
      </c>
      <c r="D11" s="29" t="s">
        <v>66</v>
      </c>
      <c r="E11" s="37">
        <v>91.838700000000003</v>
      </c>
      <c r="F11" s="41">
        <v>662</v>
      </c>
      <c r="G11" s="38">
        <v>215038.17446335472</v>
      </c>
      <c r="H11" s="38">
        <v>88169.725242</v>
      </c>
      <c r="I11" s="38">
        <f t="shared" si="2"/>
        <v>303207.89970535471</v>
      </c>
      <c r="J11" s="38">
        <f t="shared" si="3"/>
        <v>3301.5264774583557</v>
      </c>
      <c r="K11" s="38">
        <v>303077.96000000002</v>
      </c>
      <c r="L11" s="38">
        <v>3300.1116087226847</v>
      </c>
      <c r="M11" s="38">
        <f t="shared" si="4"/>
        <v>303077.96000000002</v>
      </c>
      <c r="N11" s="38">
        <f t="shared" si="5"/>
        <v>3300.1116087226847</v>
      </c>
      <c r="O11" s="42">
        <f t="shared" si="6"/>
        <v>305.26032380684831</v>
      </c>
      <c r="P11" s="42">
        <f t="shared" si="7"/>
        <v>2994.8512849158365</v>
      </c>
      <c r="Q11" s="42">
        <f t="shared" si="8"/>
        <v>28034.711299999999</v>
      </c>
      <c r="R11" s="42">
        <f t="shared" si="9"/>
        <v>275043.2487</v>
      </c>
      <c r="S11" s="43">
        <v>1</v>
      </c>
      <c r="T11" s="42">
        <f t="shared" si="10"/>
        <v>28034.711299999999</v>
      </c>
      <c r="U11" s="42">
        <f t="shared" si="11"/>
        <v>275043.2487</v>
      </c>
      <c r="V11" s="42">
        <v>-4654.17</v>
      </c>
      <c r="W11" s="42">
        <f t="shared" si="12"/>
        <v>298423.79000000004</v>
      </c>
      <c r="X11" s="4"/>
      <c r="Y11" s="4"/>
      <c r="Z11" s="4"/>
    </row>
    <row r="12" spans="1:26" s="5" customFormat="1" ht="20.149999999999999" customHeight="1">
      <c r="A12" s="29" t="s">
        <v>59</v>
      </c>
      <c r="B12" s="29" t="s">
        <v>71</v>
      </c>
      <c r="C12" s="29" t="s">
        <v>25</v>
      </c>
      <c r="D12" s="29" t="s">
        <v>67</v>
      </c>
      <c r="E12" s="37">
        <v>31.616009999999999</v>
      </c>
      <c r="F12" s="41">
        <v>234</v>
      </c>
      <c r="G12" s="38">
        <v>79220.791339287563</v>
      </c>
      <c r="H12" s="38">
        <v>24184.486072</v>
      </c>
      <c r="I12" s="38">
        <f t="shared" si="2"/>
        <v>103405.27741128756</v>
      </c>
      <c r="J12" s="38">
        <f t="shared" si="3"/>
        <v>3270.6618390899916</v>
      </c>
      <c r="K12" s="38">
        <v>103357.35</v>
      </c>
      <c r="L12" s="38">
        <v>3269.1469509109315</v>
      </c>
      <c r="M12" s="38">
        <f t="shared" si="4"/>
        <v>103357.35</v>
      </c>
      <c r="N12" s="38">
        <f t="shared" si="5"/>
        <v>3269.1459168946367</v>
      </c>
      <c r="O12" s="42">
        <f t="shared" si="6"/>
        <v>302.39599731275388</v>
      </c>
      <c r="P12" s="42">
        <f t="shared" si="7"/>
        <v>2966.7499195818828</v>
      </c>
      <c r="Q12" s="42">
        <f t="shared" si="8"/>
        <v>9560.5548749999998</v>
      </c>
      <c r="R12" s="42">
        <f t="shared" si="9"/>
        <v>93796.795125000004</v>
      </c>
      <c r="S12" s="43">
        <v>1</v>
      </c>
      <c r="T12" s="42">
        <f t="shared" si="10"/>
        <v>9560.5548749999998</v>
      </c>
      <c r="U12" s="42">
        <f t="shared" si="11"/>
        <v>93796.795125000004</v>
      </c>
      <c r="V12" s="42">
        <v>-2125.8000000000002</v>
      </c>
      <c r="W12" s="42">
        <f t="shared" si="12"/>
        <v>101231.55</v>
      </c>
      <c r="X12" s="4"/>
      <c r="Y12" s="4"/>
      <c r="Z12" s="4"/>
    </row>
    <row r="13" spans="1:26" s="5" customFormat="1" ht="20.149999999999999" customHeight="1">
      <c r="A13" s="29" t="s">
        <v>59</v>
      </c>
      <c r="B13" s="29" t="s">
        <v>71</v>
      </c>
      <c r="C13" s="29" t="s">
        <v>26</v>
      </c>
      <c r="D13" s="29" t="s">
        <v>68</v>
      </c>
      <c r="E13" s="37">
        <v>186.44917999999998</v>
      </c>
      <c r="F13" s="41">
        <v>1682</v>
      </c>
      <c r="G13" s="38">
        <v>436566.40716157155</v>
      </c>
      <c r="H13" s="38">
        <v>288209.97357700003</v>
      </c>
      <c r="I13" s="38">
        <f t="shared" si="2"/>
        <v>724776.38073857152</v>
      </c>
      <c r="J13" s="38">
        <f t="shared" si="3"/>
        <v>3887.2596851247699</v>
      </c>
      <c r="K13" s="38">
        <v>724512.58</v>
      </c>
      <c r="L13" s="38">
        <v>3885.8444015849896</v>
      </c>
      <c r="M13" s="38">
        <f t="shared" si="4"/>
        <v>724512.58</v>
      </c>
      <c r="N13" s="38">
        <f t="shared" si="5"/>
        <v>3885.844818411108</v>
      </c>
      <c r="O13" s="42">
        <f t="shared" si="6"/>
        <v>359.44064570302749</v>
      </c>
      <c r="P13" s="42">
        <f t="shared" si="7"/>
        <v>3526.4041727080803</v>
      </c>
      <c r="Q13" s="42">
        <f t="shared" si="8"/>
        <v>67017.413649999988</v>
      </c>
      <c r="R13" s="42">
        <f t="shared" si="9"/>
        <v>657495.16634999996</v>
      </c>
      <c r="S13" s="43">
        <v>1</v>
      </c>
      <c r="T13" s="42">
        <f t="shared" si="10"/>
        <v>67017.413650000002</v>
      </c>
      <c r="U13" s="42">
        <f t="shared" si="11"/>
        <v>657495.16634999996</v>
      </c>
      <c r="V13" s="42">
        <v>-1836.61</v>
      </c>
      <c r="W13" s="42">
        <f t="shared" si="12"/>
        <v>722675.97</v>
      </c>
      <c r="X13" s="4"/>
      <c r="Y13" s="4"/>
      <c r="Z13" s="4"/>
    </row>
    <row r="14" spans="1:26" s="5" customFormat="1" ht="20.149999999999999" customHeight="1">
      <c r="A14" s="29" t="s">
        <v>59</v>
      </c>
      <c r="B14" s="29" t="s">
        <v>71</v>
      </c>
      <c r="C14" s="29" t="s">
        <v>27</v>
      </c>
      <c r="D14" s="29" t="s">
        <v>69</v>
      </c>
      <c r="E14" s="37">
        <v>138.12921</v>
      </c>
      <c r="F14" s="41">
        <v>660</v>
      </c>
      <c r="G14" s="38">
        <v>323426.32417995203</v>
      </c>
      <c r="H14" s="38">
        <v>114427.167101</v>
      </c>
      <c r="I14" s="38">
        <f t="shared" si="2"/>
        <v>437853.491280952</v>
      </c>
      <c r="J14" s="38">
        <f t="shared" si="3"/>
        <v>3169.883410474526</v>
      </c>
      <c r="K14" s="38">
        <v>437658.06</v>
      </c>
      <c r="L14" s="38">
        <v>3168.4687958809577</v>
      </c>
      <c r="M14" s="38">
        <f t="shared" si="4"/>
        <v>437658.06</v>
      </c>
      <c r="N14" s="38">
        <f t="shared" si="5"/>
        <v>3168.4685664965432</v>
      </c>
      <c r="O14" s="42">
        <f t="shared" si="6"/>
        <v>293.08334240093023</v>
      </c>
      <c r="P14" s="42">
        <f t="shared" si="7"/>
        <v>2875.385224095613</v>
      </c>
      <c r="Q14" s="42">
        <f t="shared" si="8"/>
        <v>40483.37055</v>
      </c>
      <c r="R14" s="42">
        <f t="shared" si="9"/>
        <v>397174.68945000001</v>
      </c>
      <c r="S14" s="43">
        <v>1</v>
      </c>
      <c r="T14" s="42">
        <f t="shared" si="10"/>
        <v>40483.37055</v>
      </c>
      <c r="U14" s="42">
        <f t="shared" si="11"/>
        <v>397174.68945000001</v>
      </c>
      <c r="V14" s="42">
        <v>-9358.81</v>
      </c>
      <c r="W14" s="42">
        <f t="shared" si="12"/>
        <v>428299.25</v>
      </c>
      <c r="X14" s="4"/>
      <c r="Y14" s="4"/>
      <c r="Z14" s="4"/>
    </row>
    <row r="15" spans="1:26" s="5" customFormat="1" ht="20.149999999999999" customHeight="1">
      <c r="A15" s="29" t="s">
        <v>59</v>
      </c>
      <c r="B15" s="29" t="s">
        <v>72</v>
      </c>
      <c r="C15" s="29" t="s">
        <v>28</v>
      </c>
      <c r="D15" s="29" t="s">
        <v>29</v>
      </c>
      <c r="E15" s="37">
        <v>0</v>
      </c>
      <c r="F15" s="41">
        <v>0</v>
      </c>
      <c r="G15" s="38">
        <v>0</v>
      </c>
      <c r="H15" s="38">
        <v>0</v>
      </c>
      <c r="I15" s="38">
        <f t="shared" si="2"/>
        <v>0</v>
      </c>
      <c r="J15" s="38">
        <f t="shared" si="3"/>
        <v>0</v>
      </c>
      <c r="K15" s="38">
        <v>0</v>
      </c>
      <c r="L15" s="38">
        <v>0</v>
      </c>
      <c r="M15" s="38">
        <f t="shared" si="4"/>
        <v>0</v>
      </c>
      <c r="N15" s="38">
        <f t="shared" si="5"/>
        <v>0</v>
      </c>
      <c r="O15" s="42">
        <f t="shared" si="6"/>
        <v>0</v>
      </c>
      <c r="P15" s="42">
        <f t="shared" si="7"/>
        <v>0</v>
      </c>
      <c r="Q15" s="42">
        <f t="shared" si="8"/>
        <v>0</v>
      </c>
      <c r="R15" s="42">
        <f t="shared" si="9"/>
        <v>0</v>
      </c>
      <c r="S15" s="43">
        <v>1</v>
      </c>
      <c r="T15" s="42">
        <f t="shared" si="10"/>
        <v>0</v>
      </c>
      <c r="U15" s="42">
        <f t="shared" si="11"/>
        <v>0</v>
      </c>
      <c r="V15" s="42">
        <v>0</v>
      </c>
      <c r="W15" s="42">
        <f t="shared" si="12"/>
        <v>0</v>
      </c>
      <c r="X15" s="4"/>
      <c r="Y15" s="4"/>
      <c r="Z15" s="4"/>
    </row>
    <row r="16" spans="1:26" s="5" customFormat="1" ht="20.149999999999999" customHeight="1">
      <c r="A16" s="29" t="s">
        <v>59</v>
      </c>
      <c r="B16" s="29" t="s">
        <v>72</v>
      </c>
      <c r="C16" s="29" t="s">
        <v>30</v>
      </c>
      <c r="D16" s="29" t="s">
        <v>31</v>
      </c>
      <c r="E16" s="37">
        <v>0</v>
      </c>
      <c r="F16" s="41">
        <v>3520</v>
      </c>
      <c r="G16" s="38">
        <v>0</v>
      </c>
      <c r="H16" s="38">
        <v>0</v>
      </c>
      <c r="I16" s="38">
        <f t="shared" si="2"/>
        <v>0</v>
      </c>
      <c r="J16" s="38">
        <f t="shared" si="3"/>
        <v>0</v>
      </c>
      <c r="K16" s="38">
        <v>0</v>
      </c>
      <c r="L16" s="38">
        <v>0</v>
      </c>
      <c r="M16" s="38">
        <f t="shared" si="4"/>
        <v>0</v>
      </c>
      <c r="N16" s="38">
        <f t="shared" si="5"/>
        <v>0</v>
      </c>
      <c r="O16" s="42">
        <f t="shared" si="6"/>
        <v>0</v>
      </c>
      <c r="P16" s="42">
        <f t="shared" si="7"/>
        <v>0</v>
      </c>
      <c r="Q16" s="42">
        <f t="shared" si="8"/>
        <v>0</v>
      </c>
      <c r="R16" s="42">
        <f t="shared" si="9"/>
        <v>0</v>
      </c>
      <c r="S16" s="43">
        <v>1</v>
      </c>
      <c r="T16" s="42">
        <f t="shared" si="10"/>
        <v>0</v>
      </c>
      <c r="U16" s="42">
        <f t="shared" si="11"/>
        <v>0</v>
      </c>
      <c r="V16" s="42">
        <v>0</v>
      </c>
      <c r="W16" s="42">
        <f t="shared" si="12"/>
        <v>0</v>
      </c>
      <c r="X16" s="4"/>
      <c r="Y16" s="4"/>
      <c r="Z16" s="4"/>
    </row>
    <row r="17" spans="1:26" s="5" customFormat="1" ht="20.149999999999999" customHeight="1">
      <c r="A17" s="29" t="s">
        <v>59</v>
      </c>
      <c r="B17" s="29" t="s">
        <v>72</v>
      </c>
      <c r="C17" s="29" t="s">
        <v>32</v>
      </c>
      <c r="D17" s="29" t="s">
        <v>33</v>
      </c>
      <c r="E17" s="37">
        <v>0</v>
      </c>
      <c r="F17" s="41">
        <v>4600</v>
      </c>
      <c r="G17" s="38">
        <v>0</v>
      </c>
      <c r="H17" s="38">
        <v>0</v>
      </c>
      <c r="I17" s="38">
        <f t="shared" si="2"/>
        <v>0</v>
      </c>
      <c r="J17" s="38">
        <f t="shared" si="3"/>
        <v>0</v>
      </c>
      <c r="K17" s="38">
        <v>0</v>
      </c>
      <c r="L17" s="38">
        <v>0</v>
      </c>
      <c r="M17" s="38">
        <f t="shared" si="4"/>
        <v>0</v>
      </c>
      <c r="N17" s="38">
        <f t="shared" si="5"/>
        <v>0</v>
      </c>
      <c r="O17" s="42">
        <f t="shared" si="6"/>
        <v>0</v>
      </c>
      <c r="P17" s="42">
        <f t="shared" si="7"/>
        <v>0</v>
      </c>
      <c r="Q17" s="42">
        <f t="shared" si="8"/>
        <v>0</v>
      </c>
      <c r="R17" s="42">
        <f t="shared" si="9"/>
        <v>0</v>
      </c>
      <c r="S17" s="43">
        <v>1</v>
      </c>
      <c r="T17" s="42">
        <f t="shared" si="10"/>
        <v>0</v>
      </c>
      <c r="U17" s="42">
        <f t="shared" si="11"/>
        <v>0</v>
      </c>
      <c r="V17" s="42">
        <v>0</v>
      </c>
      <c r="W17" s="42">
        <f t="shared" si="12"/>
        <v>0</v>
      </c>
      <c r="X17" s="4"/>
      <c r="Y17" s="4"/>
      <c r="Z17" s="4"/>
    </row>
    <row r="18" spans="1:26" s="5" customFormat="1" ht="20.149999999999999" customHeight="1">
      <c r="A18" s="29" t="s">
        <v>59</v>
      </c>
      <c r="B18" s="29" t="s">
        <v>72</v>
      </c>
      <c r="C18" s="29" t="s">
        <v>34</v>
      </c>
      <c r="D18" s="29" t="s">
        <v>35</v>
      </c>
      <c r="E18" s="37">
        <v>0</v>
      </c>
      <c r="F18" s="41">
        <v>16200</v>
      </c>
      <c r="G18" s="38">
        <v>0</v>
      </c>
      <c r="H18" s="38">
        <v>0</v>
      </c>
      <c r="I18" s="38">
        <f t="shared" si="2"/>
        <v>0</v>
      </c>
      <c r="J18" s="38">
        <f t="shared" si="3"/>
        <v>0</v>
      </c>
      <c r="K18" s="38">
        <v>0</v>
      </c>
      <c r="L18" s="38">
        <v>0</v>
      </c>
      <c r="M18" s="38">
        <f t="shared" si="4"/>
        <v>0</v>
      </c>
      <c r="N18" s="38">
        <f t="shared" si="5"/>
        <v>0</v>
      </c>
      <c r="O18" s="42">
        <f t="shared" si="6"/>
        <v>0</v>
      </c>
      <c r="P18" s="42">
        <f t="shared" si="7"/>
        <v>0</v>
      </c>
      <c r="Q18" s="42">
        <f t="shared" si="8"/>
        <v>0</v>
      </c>
      <c r="R18" s="42">
        <f t="shared" si="9"/>
        <v>0</v>
      </c>
      <c r="S18" s="43">
        <v>1</v>
      </c>
      <c r="T18" s="42">
        <f t="shared" si="10"/>
        <v>0</v>
      </c>
      <c r="U18" s="42">
        <f t="shared" si="11"/>
        <v>0</v>
      </c>
      <c r="V18" s="42">
        <v>0</v>
      </c>
      <c r="W18" s="42">
        <f t="shared" si="12"/>
        <v>0</v>
      </c>
      <c r="X18" s="4"/>
      <c r="Y18" s="4"/>
      <c r="Z18" s="4"/>
    </row>
    <row r="19" spans="1:26" s="5" customFormat="1" ht="20.149999999999999" customHeight="1">
      <c r="A19" s="29" t="s">
        <v>59</v>
      </c>
      <c r="B19" s="29" t="s">
        <v>72</v>
      </c>
      <c r="C19" s="29" t="s">
        <v>36</v>
      </c>
      <c r="D19" s="29" t="s">
        <v>37</v>
      </c>
      <c r="E19" s="37">
        <v>0</v>
      </c>
      <c r="F19" s="41">
        <v>3520</v>
      </c>
      <c r="G19" s="38">
        <v>0</v>
      </c>
      <c r="H19" s="38">
        <v>0</v>
      </c>
      <c r="I19" s="38">
        <f t="shared" si="2"/>
        <v>0</v>
      </c>
      <c r="J19" s="38">
        <f t="shared" si="3"/>
        <v>0</v>
      </c>
      <c r="K19" s="38">
        <v>0</v>
      </c>
      <c r="L19" s="38">
        <v>0</v>
      </c>
      <c r="M19" s="38">
        <f t="shared" si="4"/>
        <v>0</v>
      </c>
      <c r="N19" s="38">
        <f t="shared" si="5"/>
        <v>0</v>
      </c>
      <c r="O19" s="42">
        <f t="shared" si="6"/>
        <v>0</v>
      </c>
      <c r="P19" s="42">
        <f t="shared" si="7"/>
        <v>0</v>
      </c>
      <c r="Q19" s="42">
        <f t="shared" si="8"/>
        <v>0</v>
      </c>
      <c r="R19" s="42">
        <f t="shared" si="9"/>
        <v>0</v>
      </c>
      <c r="S19" s="43">
        <v>1</v>
      </c>
      <c r="T19" s="42">
        <f t="shared" si="10"/>
        <v>0</v>
      </c>
      <c r="U19" s="42">
        <f t="shared" si="11"/>
        <v>0</v>
      </c>
      <c r="V19" s="42">
        <v>0</v>
      </c>
      <c r="W19" s="42">
        <f t="shared" si="12"/>
        <v>0</v>
      </c>
      <c r="X19" s="4"/>
      <c r="Y19" s="4"/>
      <c r="Z19" s="4"/>
    </row>
    <row r="20" spans="1:26" s="5" customFormat="1" ht="20.149999999999999" customHeight="1">
      <c r="A20" s="29" t="s">
        <v>59</v>
      </c>
      <c r="B20" s="29" t="s">
        <v>72</v>
      </c>
      <c r="C20" s="29" t="s">
        <v>38</v>
      </c>
      <c r="D20" s="29" t="s">
        <v>39</v>
      </c>
      <c r="E20" s="37">
        <v>0</v>
      </c>
      <c r="F20" s="41">
        <v>2560</v>
      </c>
      <c r="G20" s="38">
        <v>0</v>
      </c>
      <c r="H20" s="38">
        <v>0</v>
      </c>
      <c r="I20" s="38">
        <f t="shared" si="2"/>
        <v>0</v>
      </c>
      <c r="J20" s="38">
        <f t="shared" si="3"/>
        <v>0</v>
      </c>
      <c r="K20" s="38">
        <v>0</v>
      </c>
      <c r="L20" s="38">
        <v>0</v>
      </c>
      <c r="M20" s="38">
        <f t="shared" si="4"/>
        <v>0</v>
      </c>
      <c r="N20" s="38">
        <f t="shared" si="5"/>
        <v>0</v>
      </c>
      <c r="O20" s="42">
        <f t="shared" si="6"/>
        <v>0</v>
      </c>
      <c r="P20" s="42">
        <f t="shared" si="7"/>
        <v>0</v>
      </c>
      <c r="Q20" s="42">
        <f t="shared" si="8"/>
        <v>0</v>
      </c>
      <c r="R20" s="42">
        <f t="shared" si="9"/>
        <v>0</v>
      </c>
      <c r="S20" s="43">
        <v>1</v>
      </c>
      <c r="T20" s="42">
        <f t="shared" si="10"/>
        <v>0</v>
      </c>
      <c r="U20" s="42">
        <f t="shared" si="11"/>
        <v>0</v>
      </c>
      <c r="V20" s="42">
        <v>0</v>
      </c>
      <c r="W20" s="42">
        <f t="shared" si="12"/>
        <v>0</v>
      </c>
      <c r="X20" s="4"/>
      <c r="Y20" s="4"/>
      <c r="Z20" s="4"/>
    </row>
    <row r="21" spans="1:26" s="5" customFormat="1" ht="20.149999999999999" customHeight="1">
      <c r="A21" s="29" t="s">
        <v>59</v>
      </c>
      <c r="B21" s="29" t="s">
        <v>72</v>
      </c>
      <c r="C21" s="29" t="s">
        <v>40</v>
      </c>
      <c r="D21" s="29" t="s">
        <v>41</v>
      </c>
      <c r="E21" s="37">
        <v>0</v>
      </c>
      <c r="F21" s="41">
        <v>0</v>
      </c>
      <c r="G21" s="38">
        <v>0</v>
      </c>
      <c r="H21" s="38">
        <v>0</v>
      </c>
      <c r="I21" s="38">
        <f t="shared" si="2"/>
        <v>0</v>
      </c>
      <c r="J21" s="38">
        <f t="shared" si="3"/>
        <v>0</v>
      </c>
      <c r="K21" s="38">
        <v>0</v>
      </c>
      <c r="L21" s="38">
        <v>0</v>
      </c>
      <c r="M21" s="38">
        <f t="shared" si="4"/>
        <v>0</v>
      </c>
      <c r="N21" s="38">
        <f t="shared" si="5"/>
        <v>0</v>
      </c>
      <c r="O21" s="42">
        <f t="shared" si="6"/>
        <v>0</v>
      </c>
      <c r="P21" s="42">
        <f t="shared" si="7"/>
        <v>0</v>
      </c>
      <c r="Q21" s="42">
        <f t="shared" si="8"/>
        <v>0</v>
      </c>
      <c r="R21" s="42">
        <f t="shared" si="9"/>
        <v>0</v>
      </c>
      <c r="S21" s="43">
        <v>1</v>
      </c>
      <c r="T21" s="42">
        <f t="shared" si="10"/>
        <v>0</v>
      </c>
      <c r="U21" s="42">
        <f t="shared" si="11"/>
        <v>0</v>
      </c>
      <c r="V21" s="42">
        <v>0</v>
      </c>
      <c r="W21" s="42">
        <f t="shared" si="12"/>
        <v>0</v>
      </c>
      <c r="X21" s="4"/>
      <c r="Y21" s="4"/>
      <c r="Z21" s="4"/>
    </row>
    <row r="22" spans="1:26" s="5" customFormat="1" ht="20.149999999999999" customHeight="1">
      <c r="A22" s="29" t="s">
        <v>59</v>
      </c>
      <c r="B22" s="29" t="s">
        <v>72</v>
      </c>
      <c r="C22" s="29" t="s">
        <v>42</v>
      </c>
      <c r="D22" s="29" t="s">
        <v>43</v>
      </c>
      <c r="E22" s="37">
        <v>0</v>
      </c>
      <c r="F22" s="41">
        <v>10800</v>
      </c>
      <c r="G22" s="38">
        <v>0</v>
      </c>
      <c r="H22" s="38">
        <v>0</v>
      </c>
      <c r="I22" s="38">
        <f t="shared" si="2"/>
        <v>0</v>
      </c>
      <c r="J22" s="38">
        <f t="shared" si="3"/>
        <v>0</v>
      </c>
      <c r="K22" s="38">
        <v>0</v>
      </c>
      <c r="L22" s="38">
        <v>0</v>
      </c>
      <c r="M22" s="38">
        <f t="shared" si="4"/>
        <v>0</v>
      </c>
      <c r="N22" s="38">
        <f t="shared" si="5"/>
        <v>0</v>
      </c>
      <c r="O22" s="42">
        <f t="shared" si="6"/>
        <v>0</v>
      </c>
      <c r="P22" s="42">
        <f t="shared" si="7"/>
        <v>0</v>
      </c>
      <c r="Q22" s="42">
        <f t="shared" si="8"/>
        <v>0</v>
      </c>
      <c r="R22" s="42">
        <f t="shared" si="9"/>
        <v>0</v>
      </c>
      <c r="S22" s="43">
        <v>1</v>
      </c>
      <c r="T22" s="42">
        <f t="shared" si="10"/>
        <v>0</v>
      </c>
      <c r="U22" s="42">
        <f t="shared" si="11"/>
        <v>0</v>
      </c>
      <c r="V22" s="42">
        <v>0</v>
      </c>
      <c r="W22" s="42">
        <f t="shared" si="12"/>
        <v>0</v>
      </c>
      <c r="X22" s="4"/>
      <c r="Y22" s="4"/>
      <c r="Z22" s="4"/>
    </row>
    <row r="23" spans="1:26" s="5" customFormat="1" ht="20.149999999999999" customHeight="1">
      <c r="A23" s="29" t="s">
        <v>59</v>
      </c>
      <c r="B23" s="29" t="s">
        <v>72</v>
      </c>
      <c r="C23" s="29" t="s">
        <v>44</v>
      </c>
      <c r="D23" s="29" t="s">
        <v>45</v>
      </c>
      <c r="E23" s="37">
        <v>0</v>
      </c>
      <c r="F23" s="41">
        <v>3520</v>
      </c>
      <c r="G23" s="38">
        <v>0</v>
      </c>
      <c r="H23" s="38">
        <v>0</v>
      </c>
      <c r="I23" s="38">
        <f t="shared" si="2"/>
        <v>0</v>
      </c>
      <c r="J23" s="38">
        <f t="shared" si="3"/>
        <v>0</v>
      </c>
      <c r="K23" s="38">
        <v>0</v>
      </c>
      <c r="L23" s="38">
        <v>0</v>
      </c>
      <c r="M23" s="38">
        <f t="shared" si="4"/>
        <v>0</v>
      </c>
      <c r="N23" s="38">
        <f t="shared" si="5"/>
        <v>0</v>
      </c>
      <c r="O23" s="42">
        <f t="shared" si="6"/>
        <v>0</v>
      </c>
      <c r="P23" s="42">
        <f t="shared" si="7"/>
        <v>0</v>
      </c>
      <c r="Q23" s="42">
        <f t="shared" si="8"/>
        <v>0</v>
      </c>
      <c r="R23" s="42">
        <f t="shared" si="9"/>
        <v>0</v>
      </c>
      <c r="S23" s="43">
        <v>1</v>
      </c>
      <c r="T23" s="42">
        <f t="shared" si="10"/>
        <v>0</v>
      </c>
      <c r="U23" s="42">
        <f t="shared" si="11"/>
        <v>0</v>
      </c>
      <c r="V23" s="42">
        <v>0</v>
      </c>
      <c r="W23" s="42">
        <f t="shared" si="12"/>
        <v>0</v>
      </c>
      <c r="X23" s="4"/>
      <c r="Y23" s="4"/>
      <c r="Z23" s="4"/>
    </row>
    <row r="24" spans="1:26" s="5" customFormat="1" ht="20.149999999999999" customHeight="1">
      <c r="A24" s="29" t="s">
        <v>59</v>
      </c>
      <c r="B24" s="29" t="s">
        <v>72</v>
      </c>
      <c r="C24" s="29" t="s">
        <v>46</v>
      </c>
      <c r="D24" s="29" t="s">
        <v>47</v>
      </c>
      <c r="E24" s="37">
        <v>0</v>
      </c>
      <c r="F24" s="41">
        <v>640</v>
      </c>
      <c r="G24" s="38">
        <v>0</v>
      </c>
      <c r="H24" s="38">
        <v>0</v>
      </c>
      <c r="I24" s="38">
        <f t="shared" si="2"/>
        <v>0</v>
      </c>
      <c r="J24" s="38">
        <f t="shared" si="3"/>
        <v>0</v>
      </c>
      <c r="K24" s="38">
        <v>0</v>
      </c>
      <c r="L24" s="38">
        <v>0</v>
      </c>
      <c r="M24" s="38">
        <f t="shared" si="4"/>
        <v>0</v>
      </c>
      <c r="N24" s="38">
        <f t="shared" si="5"/>
        <v>0</v>
      </c>
      <c r="O24" s="42">
        <f t="shared" si="6"/>
        <v>0</v>
      </c>
      <c r="P24" s="42">
        <f t="shared" si="7"/>
        <v>0</v>
      </c>
      <c r="Q24" s="42">
        <f t="shared" si="8"/>
        <v>0</v>
      </c>
      <c r="R24" s="42">
        <f t="shared" si="9"/>
        <v>0</v>
      </c>
      <c r="S24" s="43">
        <v>1</v>
      </c>
      <c r="T24" s="42">
        <f t="shared" si="10"/>
        <v>0</v>
      </c>
      <c r="U24" s="42">
        <f t="shared" si="11"/>
        <v>0</v>
      </c>
      <c r="V24" s="42">
        <v>0</v>
      </c>
      <c r="W24" s="42">
        <f t="shared" si="12"/>
        <v>0</v>
      </c>
      <c r="X24" s="4"/>
      <c r="Y24" s="4"/>
      <c r="Z24" s="4"/>
    </row>
    <row r="25" spans="1:26" s="5" customFormat="1" ht="20.149999999999999" customHeight="1">
      <c r="A25" s="29" t="s">
        <v>59</v>
      </c>
      <c r="B25" s="29" t="s">
        <v>72</v>
      </c>
      <c r="C25" s="29" t="s">
        <v>48</v>
      </c>
      <c r="D25" s="29" t="s">
        <v>49</v>
      </c>
      <c r="E25" s="37">
        <v>0</v>
      </c>
      <c r="F25" s="41">
        <v>13500</v>
      </c>
      <c r="G25" s="38">
        <v>0</v>
      </c>
      <c r="H25" s="38">
        <v>0</v>
      </c>
      <c r="I25" s="38">
        <f t="shared" si="2"/>
        <v>0</v>
      </c>
      <c r="J25" s="38">
        <f t="shared" si="3"/>
        <v>0</v>
      </c>
      <c r="K25" s="38">
        <v>0</v>
      </c>
      <c r="L25" s="38">
        <v>0</v>
      </c>
      <c r="M25" s="38">
        <f t="shared" si="4"/>
        <v>0</v>
      </c>
      <c r="N25" s="38">
        <f t="shared" si="5"/>
        <v>0</v>
      </c>
      <c r="O25" s="42">
        <f t="shared" si="6"/>
        <v>0</v>
      </c>
      <c r="P25" s="42">
        <f t="shared" si="7"/>
        <v>0</v>
      </c>
      <c r="Q25" s="42">
        <f t="shared" si="8"/>
        <v>0</v>
      </c>
      <c r="R25" s="42">
        <f t="shared" si="9"/>
        <v>0</v>
      </c>
      <c r="S25" s="43">
        <v>1</v>
      </c>
      <c r="T25" s="42">
        <f t="shared" si="10"/>
        <v>0</v>
      </c>
      <c r="U25" s="42">
        <f t="shared" si="11"/>
        <v>0</v>
      </c>
      <c r="V25" s="42">
        <v>0</v>
      </c>
      <c r="W25" s="42">
        <f t="shared" si="12"/>
        <v>0</v>
      </c>
      <c r="X25" s="4"/>
      <c r="Y25" s="4"/>
      <c r="Z25" s="4"/>
    </row>
    <row r="26" spans="1:26" s="5" customFormat="1" ht="20.149999999999999" customHeight="1">
      <c r="A26" s="29" t="s">
        <v>59</v>
      </c>
      <c r="B26" s="29" t="s">
        <v>72</v>
      </c>
      <c r="C26" s="29" t="s">
        <v>50</v>
      </c>
      <c r="D26" s="29" t="s">
        <v>51</v>
      </c>
      <c r="E26" s="37">
        <v>0</v>
      </c>
      <c r="F26" s="41">
        <v>1600</v>
      </c>
      <c r="G26" s="38">
        <v>0</v>
      </c>
      <c r="H26" s="38">
        <v>190887.97898000001</v>
      </c>
      <c r="I26" s="38">
        <f t="shared" si="2"/>
        <v>190887.97898000001</v>
      </c>
      <c r="J26" s="38">
        <f t="shared" si="3"/>
        <v>0</v>
      </c>
      <c r="K26" s="38">
        <v>0</v>
      </c>
      <c r="L26" s="38">
        <v>0</v>
      </c>
      <c r="M26" s="38">
        <f t="shared" si="4"/>
        <v>0</v>
      </c>
      <c r="N26" s="38">
        <f t="shared" si="5"/>
        <v>0</v>
      </c>
      <c r="O26" s="42">
        <f t="shared" si="6"/>
        <v>0</v>
      </c>
      <c r="P26" s="42">
        <f t="shared" si="7"/>
        <v>0</v>
      </c>
      <c r="Q26" s="42">
        <f t="shared" si="8"/>
        <v>0</v>
      </c>
      <c r="R26" s="42">
        <f t="shared" si="9"/>
        <v>0</v>
      </c>
      <c r="S26" s="43">
        <v>1</v>
      </c>
      <c r="T26" s="42">
        <f t="shared" si="10"/>
        <v>0</v>
      </c>
      <c r="U26" s="42">
        <f t="shared" si="11"/>
        <v>0</v>
      </c>
      <c r="V26" s="42">
        <v>0</v>
      </c>
      <c r="W26" s="42">
        <f t="shared" si="12"/>
        <v>0</v>
      </c>
      <c r="X26" s="4"/>
      <c r="Y26" s="4"/>
      <c r="Z26" s="4"/>
    </row>
    <row r="27" spans="1:26" s="5" customFormat="1" ht="20.149999999999999" customHeight="1">
      <c r="A27" s="29" t="s">
        <v>59</v>
      </c>
      <c r="B27" s="29" t="s">
        <v>72</v>
      </c>
      <c r="C27" s="29" t="s">
        <v>52</v>
      </c>
      <c r="D27" s="29" t="s">
        <v>53</v>
      </c>
      <c r="E27" s="37">
        <v>0</v>
      </c>
      <c r="F27" s="41">
        <v>0</v>
      </c>
      <c r="G27" s="38">
        <v>0</v>
      </c>
      <c r="H27" s="38">
        <v>0</v>
      </c>
      <c r="I27" s="38">
        <f t="shared" si="2"/>
        <v>0</v>
      </c>
      <c r="J27" s="38">
        <f t="shared" si="3"/>
        <v>0</v>
      </c>
      <c r="K27" s="38">
        <v>0</v>
      </c>
      <c r="L27" s="38">
        <v>0</v>
      </c>
      <c r="M27" s="38">
        <f t="shared" si="4"/>
        <v>0</v>
      </c>
      <c r="N27" s="38">
        <f t="shared" si="5"/>
        <v>0</v>
      </c>
      <c r="O27" s="42">
        <f t="shared" si="6"/>
        <v>0</v>
      </c>
      <c r="P27" s="42">
        <f t="shared" si="7"/>
        <v>0</v>
      </c>
      <c r="Q27" s="42">
        <f t="shared" si="8"/>
        <v>0</v>
      </c>
      <c r="R27" s="42">
        <f t="shared" si="9"/>
        <v>0</v>
      </c>
      <c r="S27" s="43">
        <v>1</v>
      </c>
      <c r="T27" s="42">
        <f t="shared" si="10"/>
        <v>0</v>
      </c>
      <c r="U27" s="42">
        <f t="shared" si="11"/>
        <v>0</v>
      </c>
      <c r="V27" s="42">
        <v>0</v>
      </c>
      <c r="W27" s="42">
        <f t="shared" si="12"/>
        <v>0</v>
      </c>
      <c r="X27" s="4"/>
      <c r="Y27" s="4"/>
      <c r="Z27" s="4"/>
    </row>
    <row r="28" spans="1:26" s="5" customFormat="1" ht="20.149999999999999" customHeight="1">
      <c r="A28" s="29" t="s">
        <v>59</v>
      </c>
      <c r="B28" s="29" t="s">
        <v>72</v>
      </c>
      <c r="C28" s="29" t="s">
        <v>54</v>
      </c>
      <c r="D28" s="29" t="s">
        <v>55</v>
      </c>
      <c r="E28" s="37">
        <v>0</v>
      </c>
      <c r="F28" s="41">
        <v>640</v>
      </c>
      <c r="G28" s="38">
        <v>0</v>
      </c>
      <c r="H28" s="38">
        <v>0</v>
      </c>
      <c r="I28" s="38">
        <f t="shared" si="2"/>
        <v>0</v>
      </c>
      <c r="J28" s="38">
        <f t="shared" si="3"/>
        <v>0</v>
      </c>
      <c r="K28" s="38">
        <v>0</v>
      </c>
      <c r="L28" s="38">
        <v>0</v>
      </c>
      <c r="M28" s="38">
        <f t="shared" si="4"/>
        <v>0</v>
      </c>
      <c r="N28" s="38">
        <f t="shared" si="5"/>
        <v>0</v>
      </c>
      <c r="O28" s="42">
        <f t="shared" si="6"/>
        <v>0</v>
      </c>
      <c r="P28" s="42">
        <f t="shared" si="7"/>
        <v>0</v>
      </c>
      <c r="Q28" s="42">
        <f t="shared" si="8"/>
        <v>0</v>
      </c>
      <c r="R28" s="42">
        <f t="shared" si="9"/>
        <v>0</v>
      </c>
      <c r="S28" s="43">
        <v>1</v>
      </c>
      <c r="T28" s="42">
        <f t="shared" si="10"/>
        <v>0</v>
      </c>
      <c r="U28" s="42">
        <f t="shared" si="11"/>
        <v>0</v>
      </c>
      <c r="V28" s="42">
        <v>0</v>
      </c>
      <c r="W28" s="42">
        <f t="shared" si="12"/>
        <v>0</v>
      </c>
      <c r="X28" s="4"/>
      <c r="Y28" s="4"/>
      <c r="Z28" s="4"/>
    </row>
    <row r="29" spans="1:26" s="5" customFormat="1" ht="20.149999999999999" customHeight="1">
      <c r="A29" s="29" t="s">
        <v>59</v>
      </c>
      <c r="B29" s="29" t="s">
        <v>72</v>
      </c>
      <c r="C29" s="29" t="s">
        <v>56</v>
      </c>
      <c r="D29" s="29" t="s">
        <v>57</v>
      </c>
      <c r="E29" s="37">
        <v>0</v>
      </c>
      <c r="F29" s="41">
        <v>8100</v>
      </c>
      <c r="G29" s="38">
        <v>0</v>
      </c>
      <c r="H29" s="38">
        <v>0</v>
      </c>
      <c r="I29" s="38">
        <f t="shared" si="2"/>
        <v>0</v>
      </c>
      <c r="J29" s="38">
        <f t="shared" si="3"/>
        <v>0</v>
      </c>
      <c r="K29" s="38">
        <v>0</v>
      </c>
      <c r="L29" s="38">
        <v>0</v>
      </c>
      <c r="M29" s="38">
        <f t="shared" si="4"/>
        <v>0</v>
      </c>
      <c r="N29" s="38">
        <f t="shared" si="5"/>
        <v>0</v>
      </c>
      <c r="O29" s="42">
        <f t="shared" si="6"/>
        <v>0</v>
      </c>
      <c r="P29" s="42">
        <f t="shared" si="7"/>
        <v>0</v>
      </c>
      <c r="Q29" s="42">
        <f t="shared" si="8"/>
        <v>0</v>
      </c>
      <c r="R29" s="42">
        <f t="shared" si="9"/>
        <v>0</v>
      </c>
      <c r="S29" s="43">
        <v>1</v>
      </c>
      <c r="T29" s="42">
        <f t="shared" si="10"/>
        <v>0</v>
      </c>
      <c r="U29" s="42">
        <f t="shared" si="11"/>
        <v>0</v>
      </c>
      <c r="V29" s="42">
        <v>0</v>
      </c>
      <c r="W29" s="42">
        <f t="shared" si="12"/>
        <v>0</v>
      </c>
      <c r="X29" s="4"/>
      <c r="Y29" s="4"/>
      <c r="Z29" s="4"/>
    </row>
    <row r="30" spans="1:26" s="5" customFormat="1" ht="20.149999999999999" customHeight="1">
      <c r="A30" s="29" t="s">
        <v>59</v>
      </c>
      <c r="B30" s="29" t="s">
        <v>71</v>
      </c>
      <c r="C30" s="29" t="s">
        <v>73</v>
      </c>
      <c r="D30" s="29" t="s">
        <v>74</v>
      </c>
      <c r="E30" s="37">
        <v>106.3608</v>
      </c>
      <c r="F30" s="41">
        <v>640</v>
      </c>
      <c r="G30" s="38">
        <v>66382.602136999994</v>
      </c>
      <c r="H30" s="38">
        <v>114314.51798800001</v>
      </c>
      <c r="I30" s="38">
        <f t="shared" si="2"/>
        <v>180697.12012500002</v>
      </c>
      <c r="J30" s="38">
        <f t="shared" si="3"/>
        <v>1698.9071173308214</v>
      </c>
      <c r="K30" s="38">
        <v>180697.12</v>
      </c>
      <c r="L30" s="38">
        <v>1698.9071161555762</v>
      </c>
      <c r="M30" s="38">
        <f t="shared" si="4"/>
        <v>180697.12</v>
      </c>
      <c r="N30" s="38">
        <f t="shared" si="5"/>
        <v>1698.9071161555762</v>
      </c>
      <c r="O30" s="42">
        <f t="shared" si="6"/>
        <v>157.14890824439081</v>
      </c>
      <c r="P30" s="42">
        <f t="shared" si="7"/>
        <v>1541.7582079111853</v>
      </c>
      <c r="Q30" s="42">
        <f t="shared" si="8"/>
        <v>16714.483600000003</v>
      </c>
      <c r="R30" s="42">
        <f t="shared" si="9"/>
        <v>163982.63639999999</v>
      </c>
      <c r="S30" s="43">
        <v>1</v>
      </c>
      <c r="T30" s="42">
        <f t="shared" si="10"/>
        <v>16714.4836</v>
      </c>
      <c r="U30" s="42">
        <f t="shared" si="11"/>
        <v>163982.63639999999</v>
      </c>
      <c r="V30" s="42">
        <v>-1694.48</v>
      </c>
      <c r="W30" s="42">
        <f t="shared" si="12"/>
        <v>179002.63999999998</v>
      </c>
      <c r="X30" s="4"/>
      <c r="Y30" s="4"/>
      <c r="Z30" s="4"/>
    </row>
    <row r="31" spans="1:26" s="5" customFormat="1" ht="20.149999999999999" customHeight="1">
      <c r="A31" s="29" t="s">
        <v>59</v>
      </c>
      <c r="B31" s="29" t="s">
        <v>71</v>
      </c>
      <c r="C31" s="29" t="s">
        <v>75</v>
      </c>
      <c r="D31" s="29" t="s">
        <v>76</v>
      </c>
      <c r="E31" s="37">
        <v>196.88046</v>
      </c>
      <c r="F31" s="41">
        <v>640</v>
      </c>
      <c r="G31" s="38">
        <v>123987.816894</v>
      </c>
      <c r="H31" s="38">
        <v>171471.77812900001</v>
      </c>
      <c r="I31" s="38">
        <f t="shared" si="2"/>
        <v>295459.59502300003</v>
      </c>
      <c r="J31" s="38">
        <f t="shared" si="3"/>
        <v>1500.7055297564827</v>
      </c>
      <c r="K31" s="38">
        <v>295459.65000000002</v>
      </c>
      <c r="L31" s="38">
        <v>1500.7055041002029</v>
      </c>
      <c r="M31" s="38">
        <f t="shared" si="4"/>
        <v>295459.59502300003</v>
      </c>
      <c r="N31" s="38">
        <f t="shared" si="5"/>
        <v>1500.7055297564827</v>
      </c>
      <c r="O31" s="42">
        <f t="shared" si="6"/>
        <v>138.81526150247464</v>
      </c>
      <c r="P31" s="42">
        <f t="shared" si="7"/>
        <v>1361.8902682540081</v>
      </c>
      <c r="Q31" s="42">
        <f t="shared" si="8"/>
        <v>27330.0125396275</v>
      </c>
      <c r="R31" s="42">
        <f t="shared" si="9"/>
        <v>268129.58248300001</v>
      </c>
      <c r="S31" s="43">
        <v>1</v>
      </c>
      <c r="T31" s="42">
        <f t="shared" si="10"/>
        <v>27330.01254</v>
      </c>
      <c r="U31" s="42">
        <f t="shared" si="11"/>
        <v>268129.58248300001</v>
      </c>
      <c r="V31" s="42">
        <v>-2716.9</v>
      </c>
      <c r="W31" s="42">
        <f t="shared" si="12"/>
        <v>292742.69502300001</v>
      </c>
      <c r="X31" s="4"/>
      <c r="Y31" s="4"/>
      <c r="Z31" s="4"/>
    </row>
    <row r="32" spans="1:26" ht="19.5" customHeight="1">
      <c r="D32" t="s">
        <v>70</v>
      </c>
      <c r="E32" s="22">
        <f>SUM(E4:E31)</f>
        <v>1090.9733900000001</v>
      </c>
      <c r="W32" s="23">
        <f>SUM(W4:W31)</f>
        <v>3213508.9050230002</v>
      </c>
      <c r="X32" s="4"/>
    </row>
    <row r="33" spans="1:25" ht="19.5" customHeight="1">
      <c r="A33" s="15" t="s">
        <v>113</v>
      </c>
      <c r="B33" s="24"/>
      <c r="D33" t="s">
        <v>70</v>
      </c>
      <c r="W33" s="4"/>
    </row>
    <row r="34" spans="1:25" s="5" customFormat="1" ht="60" customHeight="1">
      <c r="A34" s="36" t="s">
        <v>99</v>
      </c>
      <c r="B34" s="36" t="s">
        <v>100</v>
      </c>
      <c r="C34" s="36" t="s">
        <v>4</v>
      </c>
      <c r="D34" s="36" t="s">
        <v>101</v>
      </c>
      <c r="E34" s="36" t="s">
        <v>102</v>
      </c>
      <c r="F34" s="36" t="s">
        <v>114</v>
      </c>
      <c r="G34" s="36" t="s">
        <v>115</v>
      </c>
      <c r="H34" s="36" t="s">
        <v>116</v>
      </c>
      <c r="I34" s="36" t="s">
        <v>117</v>
      </c>
      <c r="J34" s="36" t="s">
        <v>103</v>
      </c>
      <c r="K34" s="36" t="s">
        <v>118</v>
      </c>
      <c r="L34" s="36" t="s">
        <v>119</v>
      </c>
      <c r="M34" s="36" t="s">
        <v>120</v>
      </c>
      <c r="N34" s="36" t="s">
        <v>121</v>
      </c>
      <c r="O34" s="40" t="s">
        <v>122</v>
      </c>
      <c r="P34" s="40" t="s">
        <v>123</v>
      </c>
      <c r="Q34" s="40" t="s">
        <v>124</v>
      </c>
      <c r="R34" s="40" t="s">
        <v>125</v>
      </c>
      <c r="S34" s="40" t="s">
        <v>126</v>
      </c>
      <c r="T34" s="40" t="s">
        <v>127</v>
      </c>
      <c r="U34" s="40" t="s">
        <v>110</v>
      </c>
      <c r="V34" s="40" t="s">
        <v>112</v>
      </c>
      <c r="W34" s="52"/>
      <c r="X34" s="4"/>
      <c r="Y34" s="4"/>
    </row>
    <row r="35" spans="1:25" s="5" customFormat="1" ht="20.149999999999999" customHeight="1">
      <c r="A35" s="29" t="s">
        <v>59</v>
      </c>
      <c r="B35" s="29" t="s">
        <v>71</v>
      </c>
      <c r="C35" s="29" t="s">
        <v>18</v>
      </c>
      <c r="D35" s="29" t="s">
        <v>60</v>
      </c>
      <c r="E35" s="37">
        <v>206.26201</v>
      </c>
      <c r="F35" s="41">
        <v>1694</v>
      </c>
      <c r="G35" s="44"/>
      <c r="H35" s="44"/>
      <c r="I35" s="44"/>
      <c r="J35" s="45"/>
      <c r="K35" s="38">
        <v>35044.800000000003</v>
      </c>
      <c r="L35" s="38">
        <v>0</v>
      </c>
      <c r="M35" s="38">
        <f>K35</f>
        <v>35044.800000000003</v>
      </c>
      <c r="N35" s="38">
        <f t="shared" ref="N35:N61" si="13">IF(E35=0,0,M35/E35)</f>
        <v>169.90428823999147</v>
      </c>
      <c r="O35" s="42">
        <f t="shared" ref="O35" si="14">N35*0.0925</f>
        <v>15.716146662199211</v>
      </c>
      <c r="P35" s="42">
        <f t="shared" ref="P35" si="15">N35-O35</f>
        <v>154.18814157779227</v>
      </c>
      <c r="Q35" s="42">
        <f>E35*O35</f>
        <v>3241.6440000000002</v>
      </c>
      <c r="R35" s="42">
        <f t="shared" ref="R35" si="16">ROUND(E35*P35,6)</f>
        <v>31803.155999999999</v>
      </c>
      <c r="S35" s="43">
        <v>1</v>
      </c>
      <c r="T35" s="42">
        <f t="shared" ref="T35" si="17">ROUND(Q35*S35,6)</f>
        <v>3241.6439999999998</v>
      </c>
      <c r="U35" s="42">
        <f t="shared" ref="U35" si="18">R35</f>
        <v>31803.155999999999</v>
      </c>
      <c r="V35" s="42">
        <f t="shared" ref="V35" si="19">SUM(T35:U35)</f>
        <v>35044.799999999996</v>
      </c>
      <c r="W35" s="4"/>
      <c r="X35" s="4"/>
      <c r="Y35" s="4"/>
    </row>
    <row r="36" spans="1:25" s="5" customFormat="1" ht="20.149999999999999" customHeight="1">
      <c r="A36" s="29" t="s">
        <v>59</v>
      </c>
      <c r="B36" s="29" t="s">
        <v>71</v>
      </c>
      <c r="C36" s="29" t="s">
        <v>19</v>
      </c>
      <c r="D36" s="29" t="s">
        <v>61</v>
      </c>
      <c r="E36" s="37">
        <v>9.0544400000000014</v>
      </c>
      <c r="F36" s="41">
        <v>198</v>
      </c>
      <c r="G36" s="44"/>
      <c r="H36" s="44"/>
      <c r="I36" s="44"/>
      <c r="J36" s="45"/>
      <c r="K36" s="38">
        <v>1648.19</v>
      </c>
      <c r="L36" s="38">
        <v>0</v>
      </c>
      <c r="M36" s="38">
        <f t="shared" ref="M36:M61" si="20">K36</f>
        <v>1648.19</v>
      </c>
      <c r="N36" s="38">
        <f t="shared" si="13"/>
        <v>182.03113610560121</v>
      </c>
      <c r="O36" s="42">
        <f t="shared" ref="O36:O61" si="21">N36*0.0925</f>
        <v>16.837880089768113</v>
      </c>
      <c r="P36" s="42">
        <f t="shared" ref="P36:P61" si="22">N36-O36</f>
        <v>165.1932560158331</v>
      </c>
      <c r="Q36" s="42">
        <f t="shared" ref="Q36:Q61" si="23">E36*O36</f>
        <v>152.45757500000002</v>
      </c>
      <c r="R36" s="42">
        <f t="shared" ref="R36:R61" si="24">ROUND(E36*P36,6)</f>
        <v>1495.7324249999999</v>
      </c>
      <c r="S36" s="43">
        <v>1</v>
      </c>
      <c r="T36" s="42">
        <f t="shared" ref="T36:T61" si="25">ROUND(Q36*S36,6)</f>
        <v>152.45757499999999</v>
      </c>
      <c r="U36" s="42">
        <f t="shared" ref="U36:U61" si="26">R36</f>
        <v>1495.7324249999999</v>
      </c>
      <c r="V36" s="42">
        <f t="shared" ref="V36:V61" si="27">SUM(T36:U36)</f>
        <v>1648.1899999999998</v>
      </c>
      <c r="W36" s="4"/>
      <c r="X36" s="4"/>
      <c r="Y36" s="4"/>
    </row>
    <row r="37" spans="1:25" s="5" customFormat="1" ht="20.149999999999999" customHeight="1">
      <c r="A37" s="29" t="s">
        <v>59</v>
      </c>
      <c r="B37" s="29" t="s">
        <v>71</v>
      </c>
      <c r="C37" s="29" t="s">
        <v>20</v>
      </c>
      <c r="D37" s="29" t="s">
        <v>62</v>
      </c>
      <c r="E37" s="37">
        <v>26.54804</v>
      </c>
      <c r="F37" s="41">
        <v>286</v>
      </c>
      <c r="G37" s="44"/>
      <c r="H37" s="44"/>
      <c r="I37" s="44"/>
      <c r="J37" s="45"/>
      <c r="K37" s="38">
        <v>4832.8100000000004</v>
      </c>
      <c r="L37" s="38">
        <v>0</v>
      </c>
      <c r="M37" s="38">
        <f t="shared" si="20"/>
        <v>4832.8100000000004</v>
      </c>
      <c r="N37" s="38">
        <f t="shared" si="13"/>
        <v>182.04018074403987</v>
      </c>
      <c r="O37" s="42">
        <f t="shared" si="21"/>
        <v>16.838716718823687</v>
      </c>
      <c r="P37" s="42">
        <f t="shared" si="22"/>
        <v>165.20146402521618</v>
      </c>
      <c r="Q37" s="42">
        <f t="shared" si="23"/>
        <v>447.03492499999999</v>
      </c>
      <c r="R37" s="42">
        <f t="shared" si="24"/>
        <v>4385.7750749999996</v>
      </c>
      <c r="S37" s="43">
        <v>1</v>
      </c>
      <c r="T37" s="42">
        <f t="shared" si="25"/>
        <v>447.03492499999999</v>
      </c>
      <c r="U37" s="42">
        <f t="shared" si="26"/>
        <v>4385.7750749999996</v>
      </c>
      <c r="V37" s="42">
        <f t="shared" si="27"/>
        <v>4832.8099999999995</v>
      </c>
      <c r="W37" s="4"/>
      <c r="X37" s="4"/>
      <c r="Y37" s="4"/>
    </row>
    <row r="38" spans="1:25" s="5" customFormat="1" ht="20.149999999999999" customHeight="1">
      <c r="A38" s="29" t="s">
        <v>59</v>
      </c>
      <c r="B38" s="29" t="s">
        <v>71</v>
      </c>
      <c r="C38" s="29" t="s">
        <v>21</v>
      </c>
      <c r="D38" s="29" t="s">
        <v>63</v>
      </c>
      <c r="E38" s="37">
        <v>0.68374000000000001</v>
      </c>
      <c r="F38" s="41">
        <v>77</v>
      </c>
      <c r="G38" s="44"/>
      <c r="H38" s="44"/>
      <c r="I38" s="44"/>
      <c r="J38" s="45"/>
      <c r="K38" s="38">
        <v>119.24</v>
      </c>
      <c r="L38" s="38">
        <v>0</v>
      </c>
      <c r="M38" s="38">
        <f t="shared" si="20"/>
        <v>119.24</v>
      </c>
      <c r="N38" s="38">
        <f t="shared" si="13"/>
        <v>174.3937754117062</v>
      </c>
      <c r="O38" s="42">
        <f t="shared" si="21"/>
        <v>16.131424225582823</v>
      </c>
      <c r="P38" s="42">
        <f t="shared" si="22"/>
        <v>158.26235118612337</v>
      </c>
      <c r="Q38" s="42">
        <f t="shared" si="23"/>
        <v>11.0297</v>
      </c>
      <c r="R38" s="42">
        <f t="shared" si="24"/>
        <v>108.2103</v>
      </c>
      <c r="S38" s="43">
        <v>1</v>
      </c>
      <c r="T38" s="42">
        <f t="shared" si="25"/>
        <v>11.0297</v>
      </c>
      <c r="U38" s="42">
        <f t="shared" si="26"/>
        <v>108.2103</v>
      </c>
      <c r="V38" s="42">
        <f t="shared" si="27"/>
        <v>119.24000000000001</v>
      </c>
      <c r="W38" s="4"/>
      <c r="X38" s="4"/>
      <c r="Y38" s="4"/>
    </row>
    <row r="39" spans="1:25" s="5" customFormat="1" ht="20.149999999999999" customHeight="1">
      <c r="A39" s="29" t="s">
        <v>59</v>
      </c>
      <c r="B39" s="29" t="s">
        <v>71</v>
      </c>
      <c r="C39" s="29" t="s">
        <v>22</v>
      </c>
      <c r="D39" s="29" t="s">
        <v>64</v>
      </c>
      <c r="E39" s="37">
        <v>86.411940000000001</v>
      </c>
      <c r="F39" s="41">
        <v>742</v>
      </c>
      <c r="G39" s="44"/>
      <c r="H39" s="44"/>
      <c r="I39" s="44"/>
      <c r="J39" s="45"/>
      <c r="K39" s="38">
        <v>14681.77</v>
      </c>
      <c r="L39" s="38">
        <v>0</v>
      </c>
      <c r="M39" s="38">
        <f t="shared" si="20"/>
        <v>14681.77</v>
      </c>
      <c r="N39" s="38">
        <f t="shared" si="13"/>
        <v>169.9044136724624</v>
      </c>
      <c r="O39" s="42">
        <f t="shared" si="21"/>
        <v>15.716158264702772</v>
      </c>
      <c r="P39" s="42">
        <f t="shared" si="22"/>
        <v>154.18825540775961</v>
      </c>
      <c r="Q39" s="42">
        <f t="shared" si="23"/>
        <v>1358.063725</v>
      </c>
      <c r="R39" s="42">
        <f t="shared" si="24"/>
        <v>13323.706275</v>
      </c>
      <c r="S39" s="43">
        <v>1</v>
      </c>
      <c r="T39" s="42">
        <f t="shared" si="25"/>
        <v>1358.063725</v>
      </c>
      <c r="U39" s="42">
        <f t="shared" si="26"/>
        <v>13323.706275</v>
      </c>
      <c r="V39" s="42">
        <f t="shared" si="27"/>
        <v>14681.77</v>
      </c>
      <c r="W39" s="4"/>
      <c r="X39" s="4"/>
      <c r="Y39" s="4"/>
    </row>
    <row r="40" spans="1:25" s="5" customFormat="1" ht="20.149999999999999" customHeight="1">
      <c r="A40" s="29" t="s">
        <v>59</v>
      </c>
      <c r="B40" s="29" t="s">
        <v>71</v>
      </c>
      <c r="C40" s="29" t="s">
        <v>23</v>
      </c>
      <c r="D40" s="29" t="s">
        <v>65</v>
      </c>
      <c r="E40" s="37">
        <v>23.391179999999999</v>
      </c>
      <c r="F40" s="41">
        <v>232</v>
      </c>
      <c r="G40" s="44"/>
      <c r="H40" s="44"/>
      <c r="I40" s="44"/>
      <c r="J40" s="45"/>
      <c r="K40" s="38">
        <v>4258.1099999999997</v>
      </c>
      <c r="L40" s="38">
        <v>0</v>
      </c>
      <c r="M40" s="38">
        <f t="shared" si="20"/>
        <v>4258.1099999999997</v>
      </c>
      <c r="N40" s="38">
        <f t="shared" si="13"/>
        <v>182.03912756859637</v>
      </c>
      <c r="O40" s="42">
        <f t="shared" si="21"/>
        <v>16.838619300095164</v>
      </c>
      <c r="P40" s="42">
        <f t="shared" si="22"/>
        <v>165.20050826850121</v>
      </c>
      <c r="Q40" s="42">
        <f t="shared" si="23"/>
        <v>393.87517499999996</v>
      </c>
      <c r="R40" s="42">
        <f t="shared" si="24"/>
        <v>3864.234825</v>
      </c>
      <c r="S40" s="43">
        <v>1</v>
      </c>
      <c r="T40" s="42">
        <f t="shared" si="25"/>
        <v>393.87517500000001</v>
      </c>
      <c r="U40" s="42">
        <f t="shared" si="26"/>
        <v>3864.234825</v>
      </c>
      <c r="V40" s="42">
        <f t="shared" si="27"/>
        <v>4258.1099999999997</v>
      </c>
      <c r="W40" s="4"/>
      <c r="X40" s="4"/>
      <c r="Y40" s="4"/>
    </row>
    <row r="41" spans="1:25" s="5" customFormat="1" ht="20.149999999999999" customHeight="1">
      <c r="A41" s="29" t="s">
        <v>59</v>
      </c>
      <c r="B41" s="29" t="s">
        <v>71</v>
      </c>
      <c r="C41" s="29" t="s">
        <v>24</v>
      </c>
      <c r="D41" s="29" t="s">
        <v>66</v>
      </c>
      <c r="E41" s="37">
        <v>91.804570000000012</v>
      </c>
      <c r="F41" s="41">
        <v>662</v>
      </c>
      <c r="G41" s="44"/>
      <c r="H41" s="44"/>
      <c r="I41" s="44"/>
      <c r="J41" s="45"/>
      <c r="K41" s="38">
        <v>15598.06</v>
      </c>
      <c r="L41" s="38">
        <v>0</v>
      </c>
      <c r="M41" s="38">
        <f t="shared" si="20"/>
        <v>15598.06</v>
      </c>
      <c r="N41" s="38">
        <f t="shared" si="13"/>
        <v>169.90504938915348</v>
      </c>
      <c r="O41" s="42">
        <f t="shared" si="21"/>
        <v>15.716217068496697</v>
      </c>
      <c r="P41" s="42">
        <f t="shared" si="22"/>
        <v>154.18883232065679</v>
      </c>
      <c r="Q41" s="42">
        <f t="shared" si="23"/>
        <v>1442.8205499999999</v>
      </c>
      <c r="R41" s="42">
        <f t="shared" si="24"/>
        <v>14155.239449999999</v>
      </c>
      <c r="S41" s="43">
        <v>1</v>
      </c>
      <c r="T41" s="42">
        <f t="shared" si="25"/>
        <v>1442.8205499999999</v>
      </c>
      <c r="U41" s="42">
        <f t="shared" si="26"/>
        <v>14155.239449999999</v>
      </c>
      <c r="V41" s="42">
        <f t="shared" si="27"/>
        <v>15598.06</v>
      </c>
      <c r="W41" s="4"/>
      <c r="X41" s="4"/>
      <c r="Y41" s="4"/>
    </row>
    <row r="42" spans="1:25" s="5" customFormat="1" ht="20.149999999999999" customHeight="1">
      <c r="A42" s="29" t="s">
        <v>59</v>
      </c>
      <c r="B42" s="29" t="s">
        <v>71</v>
      </c>
      <c r="C42" s="29" t="s">
        <v>25</v>
      </c>
      <c r="D42" s="29" t="s">
        <v>67</v>
      </c>
      <c r="E42" s="37">
        <v>32.491279999999996</v>
      </c>
      <c r="F42" s="41">
        <v>234</v>
      </c>
      <c r="G42" s="44"/>
      <c r="H42" s="44"/>
      <c r="I42" s="44"/>
      <c r="J42" s="45"/>
      <c r="K42" s="38">
        <v>5914.67</v>
      </c>
      <c r="L42" s="38">
        <v>0</v>
      </c>
      <c r="M42" s="38">
        <f t="shared" si="20"/>
        <v>5914.67</v>
      </c>
      <c r="N42" s="38">
        <f t="shared" si="13"/>
        <v>182.03868853427753</v>
      </c>
      <c r="O42" s="42">
        <f t="shared" si="21"/>
        <v>16.838578689420672</v>
      </c>
      <c r="P42" s="42">
        <f t="shared" si="22"/>
        <v>165.20010984485685</v>
      </c>
      <c r="Q42" s="42">
        <f t="shared" si="23"/>
        <v>547.10697500000003</v>
      </c>
      <c r="R42" s="42">
        <f t="shared" si="24"/>
        <v>5367.5630250000004</v>
      </c>
      <c r="S42" s="43">
        <v>1</v>
      </c>
      <c r="T42" s="42">
        <f t="shared" si="25"/>
        <v>547.10697500000003</v>
      </c>
      <c r="U42" s="42">
        <f t="shared" si="26"/>
        <v>5367.5630250000004</v>
      </c>
      <c r="V42" s="42">
        <f t="shared" si="27"/>
        <v>5914.67</v>
      </c>
      <c r="W42" s="4"/>
      <c r="X42" s="4"/>
      <c r="Y42" s="4"/>
    </row>
    <row r="43" spans="1:25" s="5" customFormat="1" ht="20.149999999999999" customHeight="1">
      <c r="A43" s="29" t="s">
        <v>59</v>
      </c>
      <c r="B43" s="29" t="s">
        <v>71</v>
      </c>
      <c r="C43" s="29" t="s">
        <v>26</v>
      </c>
      <c r="D43" s="29" t="s">
        <v>68</v>
      </c>
      <c r="E43" s="37">
        <v>185.86378999999999</v>
      </c>
      <c r="F43" s="41">
        <v>1682</v>
      </c>
      <c r="G43" s="44"/>
      <c r="H43" s="44"/>
      <c r="I43" s="44"/>
      <c r="J43" s="45"/>
      <c r="K43" s="38">
        <v>31579.1</v>
      </c>
      <c r="L43" s="38">
        <v>0</v>
      </c>
      <c r="M43" s="38">
        <f t="shared" si="20"/>
        <v>31579.1</v>
      </c>
      <c r="N43" s="38">
        <f t="shared" si="13"/>
        <v>169.90453062428136</v>
      </c>
      <c r="O43" s="42">
        <f t="shared" si="21"/>
        <v>15.716169082746026</v>
      </c>
      <c r="P43" s="42">
        <f t="shared" si="22"/>
        <v>154.18836154153533</v>
      </c>
      <c r="Q43" s="42">
        <f t="shared" si="23"/>
        <v>2921.06675</v>
      </c>
      <c r="R43" s="42">
        <f t="shared" si="24"/>
        <v>28658.03325</v>
      </c>
      <c r="S43" s="43">
        <v>1</v>
      </c>
      <c r="T43" s="42">
        <f t="shared" si="25"/>
        <v>2921.06675</v>
      </c>
      <c r="U43" s="42">
        <f t="shared" si="26"/>
        <v>28658.03325</v>
      </c>
      <c r="V43" s="42">
        <f t="shared" si="27"/>
        <v>31579.1</v>
      </c>
      <c r="W43" s="4"/>
      <c r="X43" s="4"/>
      <c r="Y43" s="4"/>
    </row>
    <row r="44" spans="1:25" s="5" customFormat="1" ht="20.149999999999999" customHeight="1">
      <c r="A44" s="29" t="s">
        <v>59</v>
      </c>
      <c r="B44" s="29" t="s">
        <v>71</v>
      </c>
      <c r="C44" s="29" t="s">
        <v>27</v>
      </c>
      <c r="D44" s="29" t="s">
        <v>69</v>
      </c>
      <c r="E44" s="37">
        <v>144.28978000000001</v>
      </c>
      <c r="F44" s="41">
        <v>660</v>
      </c>
      <c r="G44" s="44"/>
      <c r="H44" s="44"/>
      <c r="I44" s="44"/>
      <c r="J44" s="45"/>
      <c r="K44" s="38">
        <v>24515.49</v>
      </c>
      <c r="L44" s="38">
        <v>0</v>
      </c>
      <c r="M44" s="38">
        <f t="shared" si="20"/>
        <v>24515.49</v>
      </c>
      <c r="N44" s="38">
        <f t="shared" si="13"/>
        <v>169.90454902627201</v>
      </c>
      <c r="O44" s="42">
        <f t="shared" si="21"/>
        <v>15.71617078493016</v>
      </c>
      <c r="P44" s="42">
        <f t="shared" si="22"/>
        <v>154.18837824134184</v>
      </c>
      <c r="Q44" s="42">
        <f t="shared" si="23"/>
        <v>2267.6828250000003</v>
      </c>
      <c r="R44" s="42">
        <f t="shared" si="24"/>
        <v>22247.807175000002</v>
      </c>
      <c r="S44" s="43">
        <v>1</v>
      </c>
      <c r="T44" s="42">
        <f t="shared" si="25"/>
        <v>2267.6828249999999</v>
      </c>
      <c r="U44" s="42">
        <f t="shared" si="26"/>
        <v>22247.807175000002</v>
      </c>
      <c r="V44" s="42">
        <f t="shared" si="27"/>
        <v>24515.49</v>
      </c>
      <c r="W44" s="4"/>
      <c r="X44" s="4"/>
      <c r="Y44" s="4"/>
    </row>
    <row r="45" spans="1:25" s="5" customFormat="1" ht="20.149999999999999" customHeight="1">
      <c r="A45" s="29" t="s">
        <v>59</v>
      </c>
      <c r="B45" s="29" t="s">
        <v>72</v>
      </c>
      <c r="C45" s="29" t="s">
        <v>28</v>
      </c>
      <c r="D45" s="29" t="s">
        <v>29</v>
      </c>
      <c r="E45" s="37">
        <v>0</v>
      </c>
      <c r="F45" s="41">
        <v>0</v>
      </c>
      <c r="G45" s="44"/>
      <c r="H45" s="44"/>
      <c r="I45" s="44"/>
      <c r="J45" s="45"/>
      <c r="K45" s="38">
        <v>0</v>
      </c>
      <c r="L45" s="38">
        <v>0</v>
      </c>
      <c r="M45" s="38">
        <f t="shared" si="20"/>
        <v>0</v>
      </c>
      <c r="N45" s="38">
        <f t="shared" si="13"/>
        <v>0</v>
      </c>
      <c r="O45" s="42">
        <f t="shared" si="21"/>
        <v>0</v>
      </c>
      <c r="P45" s="42">
        <f t="shared" si="22"/>
        <v>0</v>
      </c>
      <c r="Q45" s="42">
        <f t="shared" si="23"/>
        <v>0</v>
      </c>
      <c r="R45" s="42">
        <f t="shared" si="24"/>
        <v>0</v>
      </c>
      <c r="S45" s="43">
        <v>1</v>
      </c>
      <c r="T45" s="42">
        <f t="shared" si="25"/>
        <v>0</v>
      </c>
      <c r="U45" s="42">
        <f t="shared" si="26"/>
        <v>0</v>
      </c>
      <c r="V45" s="42">
        <f t="shared" si="27"/>
        <v>0</v>
      </c>
      <c r="W45" s="4"/>
      <c r="X45" s="4"/>
      <c r="Y45" s="4"/>
    </row>
    <row r="46" spans="1:25" s="5" customFormat="1" ht="20.149999999999999" customHeight="1">
      <c r="A46" s="29" t="s">
        <v>59</v>
      </c>
      <c r="B46" s="29" t="s">
        <v>72</v>
      </c>
      <c r="C46" s="29" t="s">
        <v>30</v>
      </c>
      <c r="D46" s="29" t="s">
        <v>31</v>
      </c>
      <c r="E46" s="37">
        <v>0</v>
      </c>
      <c r="F46" s="41">
        <v>3520</v>
      </c>
      <c r="G46" s="44"/>
      <c r="H46" s="44"/>
      <c r="I46" s="44"/>
      <c r="J46" s="45"/>
      <c r="K46" s="38">
        <v>0</v>
      </c>
      <c r="L46" s="38">
        <v>0</v>
      </c>
      <c r="M46" s="38">
        <f t="shared" si="20"/>
        <v>0</v>
      </c>
      <c r="N46" s="38">
        <f t="shared" si="13"/>
        <v>0</v>
      </c>
      <c r="O46" s="42">
        <f t="shared" si="21"/>
        <v>0</v>
      </c>
      <c r="P46" s="42">
        <f t="shared" si="22"/>
        <v>0</v>
      </c>
      <c r="Q46" s="42">
        <f t="shared" si="23"/>
        <v>0</v>
      </c>
      <c r="R46" s="42">
        <f t="shared" si="24"/>
        <v>0</v>
      </c>
      <c r="S46" s="43">
        <v>1</v>
      </c>
      <c r="T46" s="42">
        <f t="shared" si="25"/>
        <v>0</v>
      </c>
      <c r="U46" s="42">
        <f t="shared" si="26"/>
        <v>0</v>
      </c>
      <c r="V46" s="42">
        <f t="shared" si="27"/>
        <v>0</v>
      </c>
      <c r="W46" s="4"/>
      <c r="X46" s="4"/>
      <c r="Y46" s="4"/>
    </row>
    <row r="47" spans="1:25" s="5" customFormat="1" ht="20.149999999999999" customHeight="1">
      <c r="A47" s="29" t="s">
        <v>59</v>
      </c>
      <c r="B47" s="29" t="s">
        <v>72</v>
      </c>
      <c r="C47" s="29" t="s">
        <v>32</v>
      </c>
      <c r="D47" s="29" t="s">
        <v>33</v>
      </c>
      <c r="E47" s="37">
        <v>0</v>
      </c>
      <c r="F47" s="41">
        <v>4600</v>
      </c>
      <c r="G47" s="44"/>
      <c r="H47" s="44"/>
      <c r="I47" s="44"/>
      <c r="J47" s="45"/>
      <c r="K47" s="38">
        <v>0</v>
      </c>
      <c r="L47" s="38">
        <v>0</v>
      </c>
      <c r="M47" s="38">
        <f t="shared" si="20"/>
        <v>0</v>
      </c>
      <c r="N47" s="38">
        <f t="shared" si="13"/>
        <v>0</v>
      </c>
      <c r="O47" s="42">
        <f t="shared" si="21"/>
        <v>0</v>
      </c>
      <c r="P47" s="42">
        <f t="shared" si="22"/>
        <v>0</v>
      </c>
      <c r="Q47" s="42">
        <f t="shared" si="23"/>
        <v>0</v>
      </c>
      <c r="R47" s="42">
        <f t="shared" si="24"/>
        <v>0</v>
      </c>
      <c r="S47" s="43">
        <v>1</v>
      </c>
      <c r="T47" s="42">
        <f t="shared" si="25"/>
        <v>0</v>
      </c>
      <c r="U47" s="42">
        <f t="shared" si="26"/>
        <v>0</v>
      </c>
      <c r="V47" s="42">
        <f t="shared" si="27"/>
        <v>0</v>
      </c>
      <c r="W47" s="4"/>
      <c r="X47" s="4"/>
      <c r="Y47" s="4"/>
    </row>
    <row r="48" spans="1:25" s="5" customFormat="1" ht="20.149999999999999" customHeight="1">
      <c r="A48" s="29" t="s">
        <v>59</v>
      </c>
      <c r="B48" s="29" t="s">
        <v>72</v>
      </c>
      <c r="C48" s="29" t="s">
        <v>34</v>
      </c>
      <c r="D48" s="29" t="s">
        <v>35</v>
      </c>
      <c r="E48" s="37">
        <v>0</v>
      </c>
      <c r="F48" s="41">
        <v>16200</v>
      </c>
      <c r="G48" s="44"/>
      <c r="H48" s="44"/>
      <c r="I48" s="44"/>
      <c r="J48" s="45"/>
      <c r="K48" s="38">
        <v>0</v>
      </c>
      <c r="L48" s="38">
        <v>0</v>
      </c>
      <c r="M48" s="38">
        <f t="shared" si="20"/>
        <v>0</v>
      </c>
      <c r="N48" s="38">
        <f t="shared" si="13"/>
        <v>0</v>
      </c>
      <c r="O48" s="42">
        <f t="shared" si="21"/>
        <v>0</v>
      </c>
      <c r="P48" s="42">
        <f t="shared" si="22"/>
        <v>0</v>
      </c>
      <c r="Q48" s="42">
        <f t="shared" si="23"/>
        <v>0</v>
      </c>
      <c r="R48" s="42">
        <f t="shared" si="24"/>
        <v>0</v>
      </c>
      <c r="S48" s="43">
        <v>1</v>
      </c>
      <c r="T48" s="42">
        <f t="shared" si="25"/>
        <v>0</v>
      </c>
      <c r="U48" s="42">
        <f t="shared" si="26"/>
        <v>0</v>
      </c>
      <c r="V48" s="42">
        <f t="shared" si="27"/>
        <v>0</v>
      </c>
      <c r="W48" s="4"/>
      <c r="X48" s="4"/>
      <c r="Y48" s="4"/>
    </row>
    <row r="49" spans="1:25" s="5" customFormat="1" ht="20.149999999999999" customHeight="1">
      <c r="A49" s="29" t="s">
        <v>59</v>
      </c>
      <c r="B49" s="29" t="s">
        <v>72</v>
      </c>
      <c r="C49" s="29" t="s">
        <v>36</v>
      </c>
      <c r="D49" s="29" t="s">
        <v>37</v>
      </c>
      <c r="E49" s="37">
        <v>0</v>
      </c>
      <c r="F49" s="41">
        <v>3520</v>
      </c>
      <c r="G49" s="44"/>
      <c r="H49" s="44"/>
      <c r="I49" s="44"/>
      <c r="J49" s="45"/>
      <c r="K49" s="38">
        <v>0</v>
      </c>
      <c r="L49" s="38">
        <v>0</v>
      </c>
      <c r="M49" s="38">
        <f t="shared" si="20"/>
        <v>0</v>
      </c>
      <c r="N49" s="38">
        <f t="shared" si="13"/>
        <v>0</v>
      </c>
      <c r="O49" s="42">
        <f t="shared" si="21"/>
        <v>0</v>
      </c>
      <c r="P49" s="42">
        <f t="shared" si="22"/>
        <v>0</v>
      </c>
      <c r="Q49" s="42">
        <f t="shared" si="23"/>
        <v>0</v>
      </c>
      <c r="R49" s="42">
        <f t="shared" si="24"/>
        <v>0</v>
      </c>
      <c r="S49" s="43">
        <v>1</v>
      </c>
      <c r="T49" s="42">
        <f t="shared" si="25"/>
        <v>0</v>
      </c>
      <c r="U49" s="42">
        <f t="shared" si="26"/>
        <v>0</v>
      </c>
      <c r="V49" s="42">
        <f t="shared" si="27"/>
        <v>0</v>
      </c>
      <c r="W49" s="4"/>
      <c r="X49" s="4"/>
      <c r="Y49" s="4"/>
    </row>
    <row r="50" spans="1:25" s="5" customFormat="1" ht="20.149999999999999" customHeight="1">
      <c r="A50" s="29" t="s">
        <v>59</v>
      </c>
      <c r="B50" s="29" t="s">
        <v>72</v>
      </c>
      <c r="C50" s="29" t="s">
        <v>38</v>
      </c>
      <c r="D50" s="29" t="s">
        <v>39</v>
      </c>
      <c r="E50" s="37">
        <v>0</v>
      </c>
      <c r="F50" s="41">
        <v>2560</v>
      </c>
      <c r="G50" s="44"/>
      <c r="H50" s="44"/>
      <c r="I50" s="44"/>
      <c r="J50" s="45"/>
      <c r="K50" s="38">
        <v>0</v>
      </c>
      <c r="L50" s="38">
        <v>0</v>
      </c>
      <c r="M50" s="38">
        <f t="shared" si="20"/>
        <v>0</v>
      </c>
      <c r="N50" s="38">
        <f t="shared" si="13"/>
        <v>0</v>
      </c>
      <c r="O50" s="42">
        <f t="shared" si="21"/>
        <v>0</v>
      </c>
      <c r="P50" s="42">
        <f t="shared" si="22"/>
        <v>0</v>
      </c>
      <c r="Q50" s="42">
        <f t="shared" si="23"/>
        <v>0</v>
      </c>
      <c r="R50" s="42">
        <f t="shared" si="24"/>
        <v>0</v>
      </c>
      <c r="S50" s="43">
        <v>1</v>
      </c>
      <c r="T50" s="42">
        <f t="shared" si="25"/>
        <v>0</v>
      </c>
      <c r="U50" s="42">
        <f t="shared" si="26"/>
        <v>0</v>
      </c>
      <c r="V50" s="42">
        <f t="shared" si="27"/>
        <v>0</v>
      </c>
      <c r="W50" s="4"/>
      <c r="X50" s="4"/>
      <c r="Y50" s="4"/>
    </row>
    <row r="51" spans="1:25" s="5" customFormat="1" ht="20.149999999999999" customHeight="1">
      <c r="A51" s="29" t="s">
        <v>59</v>
      </c>
      <c r="B51" s="29" t="s">
        <v>72</v>
      </c>
      <c r="C51" s="29" t="s">
        <v>40</v>
      </c>
      <c r="D51" s="29" t="s">
        <v>41</v>
      </c>
      <c r="E51" s="37">
        <v>0</v>
      </c>
      <c r="F51" s="41">
        <v>0</v>
      </c>
      <c r="G51" s="44"/>
      <c r="H51" s="44"/>
      <c r="I51" s="44"/>
      <c r="J51" s="45"/>
      <c r="K51" s="38">
        <v>0</v>
      </c>
      <c r="L51" s="38">
        <v>0</v>
      </c>
      <c r="M51" s="38">
        <f t="shared" si="20"/>
        <v>0</v>
      </c>
      <c r="N51" s="38">
        <f t="shared" si="13"/>
        <v>0</v>
      </c>
      <c r="O51" s="42">
        <f t="shared" si="21"/>
        <v>0</v>
      </c>
      <c r="P51" s="42">
        <f t="shared" si="22"/>
        <v>0</v>
      </c>
      <c r="Q51" s="42">
        <f t="shared" si="23"/>
        <v>0</v>
      </c>
      <c r="R51" s="42">
        <f t="shared" si="24"/>
        <v>0</v>
      </c>
      <c r="S51" s="43">
        <v>1</v>
      </c>
      <c r="T51" s="42">
        <f t="shared" si="25"/>
        <v>0</v>
      </c>
      <c r="U51" s="42">
        <f t="shared" si="26"/>
        <v>0</v>
      </c>
      <c r="V51" s="42">
        <f t="shared" si="27"/>
        <v>0</v>
      </c>
      <c r="W51" s="4"/>
      <c r="X51" s="4"/>
      <c r="Y51" s="4"/>
    </row>
    <row r="52" spans="1:25" s="5" customFormat="1" ht="20.149999999999999" customHeight="1">
      <c r="A52" s="29" t="s">
        <v>59</v>
      </c>
      <c r="B52" s="29" t="s">
        <v>72</v>
      </c>
      <c r="C52" s="29" t="s">
        <v>42</v>
      </c>
      <c r="D52" s="29" t="s">
        <v>43</v>
      </c>
      <c r="E52" s="37">
        <v>0</v>
      </c>
      <c r="F52" s="41">
        <v>10800</v>
      </c>
      <c r="G52" s="44"/>
      <c r="H52" s="44"/>
      <c r="I52" s="44"/>
      <c r="J52" s="45"/>
      <c r="K52" s="38">
        <v>0</v>
      </c>
      <c r="L52" s="38">
        <v>0</v>
      </c>
      <c r="M52" s="38">
        <f t="shared" si="20"/>
        <v>0</v>
      </c>
      <c r="N52" s="38">
        <f t="shared" si="13"/>
        <v>0</v>
      </c>
      <c r="O52" s="42">
        <f t="shared" si="21"/>
        <v>0</v>
      </c>
      <c r="P52" s="42">
        <f t="shared" si="22"/>
        <v>0</v>
      </c>
      <c r="Q52" s="42">
        <f t="shared" si="23"/>
        <v>0</v>
      </c>
      <c r="R52" s="42">
        <f t="shared" si="24"/>
        <v>0</v>
      </c>
      <c r="S52" s="43">
        <v>1</v>
      </c>
      <c r="T52" s="42">
        <f t="shared" si="25"/>
        <v>0</v>
      </c>
      <c r="U52" s="42">
        <f t="shared" si="26"/>
        <v>0</v>
      </c>
      <c r="V52" s="42">
        <f t="shared" si="27"/>
        <v>0</v>
      </c>
      <c r="W52" s="4"/>
      <c r="X52" s="4"/>
      <c r="Y52" s="4"/>
    </row>
    <row r="53" spans="1:25" s="5" customFormat="1" ht="20.149999999999999" customHeight="1">
      <c r="A53" s="29" t="s">
        <v>59</v>
      </c>
      <c r="B53" s="29" t="s">
        <v>72</v>
      </c>
      <c r="C53" s="29" t="s">
        <v>44</v>
      </c>
      <c r="D53" s="29" t="s">
        <v>45</v>
      </c>
      <c r="E53" s="37">
        <v>0</v>
      </c>
      <c r="F53" s="41">
        <v>3520</v>
      </c>
      <c r="G53" s="44"/>
      <c r="H53" s="44"/>
      <c r="I53" s="44"/>
      <c r="J53" s="45"/>
      <c r="K53" s="38">
        <v>0</v>
      </c>
      <c r="L53" s="38">
        <v>0</v>
      </c>
      <c r="M53" s="38">
        <f t="shared" si="20"/>
        <v>0</v>
      </c>
      <c r="N53" s="38">
        <f t="shared" si="13"/>
        <v>0</v>
      </c>
      <c r="O53" s="42">
        <f t="shared" si="21"/>
        <v>0</v>
      </c>
      <c r="P53" s="42">
        <f t="shared" si="22"/>
        <v>0</v>
      </c>
      <c r="Q53" s="42">
        <f t="shared" si="23"/>
        <v>0</v>
      </c>
      <c r="R53" s="42">
        <f t="shared" si="24"/>
        <v>0</v>
      </c>
      <c r="S53" s="43">
        <v>1</v>
      </c>
      <c r="T53" s="42">
        <f t="shared" si="25"/>
        <v>0</v>
      </c>
      <c r="U53" s="42">
        <f t="shared" si="26"/>
        <v>0</v>
      </c>
      <c r="V53" s="42">
        <f t="shared" si="27"/>
        <v>0</v>
      </c>
      <c r="W53" s="4"/>
      <c r="X53" s="4"/>
      <c r="Y53" s="4"/>
    </row>
    <row r="54" spans="1:25" s="5" customFormat="1" ht="20.149999999999999" customHeight="1">
      <c r="A54" s="29" t="s">
        <v>59</v>
      </c>
      <c r="B54" s="29" t="s">
        <v>72</v>
      </c>
      <c r="C54" s="29" t="s">
        <v>46</v>
      </c>
      <c r="D54" s="29" t="s">
        <v>47</v>
      </c>
      <c r="E54" s="37">
        <v>0</v>
      </c>
      <c r="F54" s="41">
        <v>640</v>
      </c>
      <c r="G54" s="44"/>
      <c r="H54" s="44"/>
      <c r="I54" s="44"/>
      <c r="J54" s="45"/>
      <c r="K54" s="38">
        <v>0</v>
      </c>
      <c r="L54" s="38">
        <v>0</v>
      </c>
      <c r="M54" s="38">
        <f t="shared" si="20"/>
        <v>0</v>
      </c>
      <c r="N54" s="38">
        <f t="shared" si="13"/>
        <v>0</v>
      </c>
      <c r="O54" s="42">
        <f t="shared" si="21"/>
        <v>0</v>
      </c>
      <c r="P54" s="42">
        <f t="shared" si="22"/>
        <v>0</v>
      </c>
      <c r="Q54" s="42">
        <f t="shared" si="23"/>
        <v>0</v>
      </c>
      <c r="R54" s="42">
        <f t="shared" si="24"/>
        <v>0</v>
      </c>
      <c r="S54" s="43">
        <v>1</v>
      </c>
      <c r="T54" s="42">
        <f t="shared" si="25"/>
        <v>0</v>
      </c>
      <c r="U54" s="42">
        <f t="shared" si="26"/>
        <v>0</v>
      </c>
      <c r="V54" s="42">
        <f t="shared" si="27"/>
        <v>0</v>
      </c>
      <c r="W54" s="4"/>
      <c r="X54" s="4"/>
      <c r="Y54" s="4"/>
    </row>
    <row r="55" spans="1:25" s="5" customFormat="1" ht="20.149999999999999" customHeight="1">
      <c r="A55" s="29" t="s">
        <v>59</v>
      </c>
      <c r="B55" s="29" t="s">
        <v>72</v>
      </c>
      <c r="C55" s="29" t="s">
        <v>48</v>
      </c>
      <c r="D55" s="29" t="s">
        <v>49</v>
      </c>
      <c r="E55" s="37">
        <v>0</v>
      </c>
      <c r="F55" s="41">
        <v>13500</v>
      </c>
      <c r="G55" s="44"/>
      <c r="H55" s="44"/>
      <c r="I55" s="44"/>
      <c r="J55" s="45"/>
      <c r="K55" s="38">
        <v>0</v>
      </c>
      <c r="L55" s="38">
        <v>0</v>
      </c>
      <c r="M55" s="38">
        <f t="shared" si="20"/>
        <v>0</v>
      </c>
      <c r="N55" s="38">
        <f t="shared" si="13"/>
        <v>0</v>
      </c>
      <c r="O55" s="42">
        <f t="shared" si="21"/>
        <v>0</v>
      </c>
      <c r="P55" s="42">
        <f t="shared" si="22"/>
        <v>0</v>
      </c>
      <c r="Q55" s="42">
        <f t="shared" si="23"/>
        <v>0</v>
      </c>
      <c r="R55" s="42">
        <f t="shared" si="24"/>
        <v>0</v>
      </c>
      <c r="S55" s="43">
        <v>1</v>
      </c>
      <c r="T55" s="42">
        <f t="shared" si="25"/>
        <v>0</v>
      </c>
      <c r="U55" s="42">
        <f t="shared" si="26"/>
        <v>0</v>
      </c>
      <c r="V55" s="42">
        <f t="shared" si="27"/>
        <v>0</v>
      </c>
      <c r="W55" s="4"/>
      <c r="X55" s="4"/>
      <c r="Y55" s="4"/>
    </row>
    <row r="56" spans="1:25" s="5" customFormat="1" ht="20.149999999999999" customHeight="1">
      <c r="A56" s="29" t="s">
        <v>59</v>
      </c>
      <c r="B56" s="29" t="s">
        <v>72</v>
      </c>
      <c r="C56" s="29" t="s">
        <v>50</v>
      </c>
      <c r="D56" s="29" t="s">
        <v>51</v>
      </c>
      <c r="E56" s="37">
        <v>0</v>
      </c>
      <c r="F56" s="41">
        <v>1600</v>
      </c>
      <c r="G56" s="44"/>
      <c r="H56" s="44"/>
      <c r="I56" s="44"/>
      <c r="J56" s="45"/>
      <c r="K56" s="38">
        <v>0</v>
      </c>
      <c r="L56" s="38">
        <v>0</v>
      </c>
      <c r="M56" s="38">
        <f t="shared" si="20"/>
        <v>0</v>
      </c>
      <c r="N56" s="38">
        <f t="shared" si="13"/>
        <v>0</v>
      </c>
      <c r="O56" s="42">
        <f t="shared" si="21"/>
        <v>0</v>
      </c>
      <c r="P56" s="42">
        <f t="shared" si="22"/>
        <v>0</v>
      </c>
      <c r="Q56" s="42">
        <f t="shared" si="23"/>
        <v>0</v>
      </c>
      <c r="R56" s="42">
        <f t="shared" si="24"/>
        <v>0</v>
      </c>
      <c r="S56" s="43">
        <v>1</v>
      </c>
      <c r="T56" s="42">
        <f t="shared" si="25"/>
        <v>0</v>
      </c>
      <c r="U56" s="42">
        <f t="shared" si="26"/>
        <v>0</v>
      </c>
      <c r="V56" s="42">
        <f t="shared" si="27"/>
        <v>0</v>
      </c>
      <c r="W56" s="4"/>
      <c r="X56" s="4"/>
      <c r="Y56" s="4"/>
    </row>
    <row r="57" spans="1:25" s="5" customFormat="1" ht="20.149999999999999" customHeight="1">
      <c r="A57" s="29" t="s">
        <v>59</v>
      </c>
      <c r="B57" s="29" t="s">
        <v>72</v>
      </c>
      <c r="C57" s="29" t="s">
        <v>52</v>
      </c>
      <c r="D57" s="29" t="s">
        <v>53</v>
      </c>
      <c r="E57" s="37">
        <v>0</v>
      </c>
      <c r="F57" s="41">
        <v>0</v>
      </c>
      <c r="G57" s="44"/>
      <c r="H57" s="44"/>
      <c r="I57" s="44"/>
      <c r="J57" s="45"/>
      <c r="K57" s="38">
        <v>0</v>
      </c>
      <c r="L57" s="38">
        <v>0</v>
      </c>
      <c r="M57" s="38">
        <f t="shared" si="20"/>
        <v>0</v>
      </c>
      <c r="N57" s="38">
        <f t="shared" si="13"/>
        <v>0</v>
      </c>
      <c r="O57" s="42">
        <f t="shared" si="21"/>
        <v>0</v>
      </c>
      <c r="P57" s="42">
        <f t="shared" si="22"/>
        <v>0</v>
      </c>
      <c r="Q57" s="42">
        <f t="shared" si="23"/>
        <v>0</v>
      </c>
      <c r="R57" s="42">
        <f t="shared" si="24"/>
        <v>0</v>
      </c>
      <c r="S57" s="43">
        <v>1</v>
      </c>
      <c r="T57" s="42">
        <f t="shared" si="25"/>
        <v>0</v>
      </c>
      <c r="U57" s="42">
        <f t="shared" si="26"/>
        <v>0</v>
      </c>
      <c r="V57" s="42">
        <f t="shared" si="27"/>
        <v>0</v>
      </c>
      <c r="W57" s="4"/>
      <c r="X57" s="4"/>
      <c r="Y57" s="4"/>
    </row>
    <row r="58" spans="1:25" s="5" customFormat="1" ht="20.149999999999999" customHeight="1">
      <c r="A58" s="29" t="s">
        <v>59</v>
      </c>
      <c r="B58" s="29" t="s">
        <v>72</v>
      </c>
      <c r="C58" s="29" t="s">
        <v>54</v>
      </c>
      <c r="D58" s="29" t="s">
        <v>55</v>
      </c>
      <c r="E58" s="37">
        <v>0</v>
      </c>
      <c r="F58" s="41">
        <v>640</v>
      </c>
      <c r="G58" s="44"/>
      <c r="H58" s="44"/>
      <c r="I58" s="44"/>
      <c r="J58" s="45"/>
      <c r="K58" s="38">
        <v>0</v>
      </c>
      <c r="L58" s="38">
        <v>0</v>
      </c>
      <c r="M58" s="38">
        <f t="shared" si="20"/>
        <v>0</v>
      </c>
      <c r="N58" s="38">
        <f t="shared" si="13"/>
        <v>0</v>
      </c>
      <c r="O58" s="42">
        <f t="shared" si="21"/>
        <v>0</v>
      </c>
      <c r="P58" s="42">
        <f t="shared" si="22"/>
        <v>0</v>
      </c>
      <c r="Q58" s="42">
        <f t="shared" si="23"/>
        <v>0</v>
      </c>
      <c r="R58" s="42">
        <f t="shared" si="24"/>
        <v>0</v>
      </c>
      <c r="S58" s="43">
        <v>1</v>
      </c>
      <c r="T58" s="42">
        <f t="shared" si="25"/>
        <v>0</v>
      </c>
      <c r="U58" s="42">
        <f t="shared" si="26"/>
        <v>0</v>
      </c>
      <c r="V58" s="42">
        <f t="shared" si="27"/>
        <v>0</v>
      </c>
      <c r="W58" s="4"/>
      <c r="X58" s="4"/>
      <c r="Y58" s="4"/>
    </row>
    <row r="59" spans="1:25" s="5" customFormat="1" ht="20.149999999999999" customHeight="1">
      <c r="A59" s="29" t="s">
        <v>59</v>
      </c>
      <c r="B59" s="29" t="s">
        <v>72</v>
      </c>
      <c r="C59" s="29" t="s">
        <v>56</v>
      </c>
      <c r="D59" s="29" t="s">
        <v>57</v>
      </c>
      <c r="E59" s="37">
        <v>0</v>
      </c>
      <c r="F59" s="41">
        <v>8100</v>
      </c>
      <c r="G59" s="44"/>
      <c r="H59" s="44"/>
      <c r="I59" s="44"/>
      <c r="J59" s="45"/>
      <c r="K59" s="38">
        <v>0</v>
      </c>
      <c r="L59" s="38">
        <v>0</v>
      </c>
      <c r="M59" s="38">
        <f t="shared" si="20"/>
        <v>0</v>
      </c>
      <c r="N59" s="38">
        <f t="shared" si="13"/>
        <v>0</v>
      </c>
      <c r="O59" s="42">
        <f t="shared" si="21"/>
        <v>0</v>
      </c>
      <c r="P59" s="42">
        <f t="shared" si="22"/>
        <v>0</v>
      </c>
      <c r="Q59" s="42">
        <f t="shared" si="23"/>
        <v>0</v>
      </c>
      <c r="R59" s="42">
        <f t="shared" si="24"/>
        <v>0</v>
      </c>
      <c r="S59" s="43">
        <v>1</v>
      </c>
      <c r="T59" s="42">
        <f t="shared" si="25"/>
        <v>0</v>
      </c>
      <c r="U59" s="42">
        <f t="shared" si="26"/>
        <v>0</v>
      </c>
      <c r="V59" s="42">
        <f t="shared" si="27"/>
        <v>0</v>
      </c>
      <c r="W59" s="4"/>
      <c r="X59" s="4"/>
      <c r="Y59" s="4"/>
    </row>
    <row r="60" spans="1:25" s="5" customFormat="1" ht="20.149999999999999" customHeight="1">
      <c r="A60" s="29" t="s">
        <v>59</v>
      </c>
      <c r="B60" s="29" t="s">
        <v>71</v>
      </c>
      <c r="C60" s="29" t="s">
        <v>73</v>
      </c>
      <c r="D60" s="29" t="s">
        <v>74</v>
      </c>
      <c r="E60" s="37">
        <v>105.46368</v>
      </c>
      <c r="F60" s="41">
        <v>640</v>
      </c>
      <c r="G60" s="44"/>
      <c r="H60" s="44"/>
      <c r="I60" s="44"/>
      <c r="J60" s="45"/>
      <c r="K60" s="38">
        <v>403.62</v>
      </c>
      <c r="L60" s="38">
        <v>0</v>
      </c>
      <c r="M60" s="38">
        <f t="shared" si="20"/>
        <v>403.62</v>
      </c>
      <c r="N60" s="38">
        <f t="shared" si="13"/>
        <v>3.8270995284822225</v>
      </c>
      <c r="O60" s="42">
        <f t="shared" si="21"/>
        <v>0.35400670638460557</v>
      </c>
      <c r="P60" s="42">
        <f t="shared" si="22"/>
        <v>3.4730928220976169</v>
      </c>
      <c r="Q60" s="42">
        <f t="shared" si="23"/>
        <v>37.334849999999996</v>
      </c>
      <c r="R60" s="42">
        <f t="shared" si="24"/>
        <v>366.28514999999999</v>
      </c>
      <c r="S60" s="43">
        <v>1</v>
      </c>
      <c r="T60" s="42">
        <f t="shared" si="25"/>
        <v>37.334850000000003</v>
      </c>
      <c r="U60" s="42">
        <f t="shared" si="26"/>
        <v>366.28514999999999</v>
      </c>
      <c r="V60" s="42">
        <f t="shared" si="27"/>
        <v>403.62</v>
      </c>
      <c r="W60" s="4"/>
      <c r="X60" s="4"/>
      <c r="Y60" s="4"/>
    </row>
    <row r="61" spans="1:25" s="5" customFormat="1" ht="20.149999999999999" customHeight="1">
      <c r="A61" s="29" t="s">
        <v>59</v>
      </c>
      <c r="B61" s="29" t="s">
        <v>71</v>
      </c>
      <c r="C61" s="29" t="s">
        <v>75</v>
      </c>
      <c r="D61" s="29" t="s">
        <v>76</v>
      </c>
      <c r="E61" s="37">
        <v>196.749</v>
      </c>
      <c r="F61" s="41">
        <v>640</v>
      </c>
      <c r="G61" s="44"/>
      <c r="H61" s="44"/>
      <c r="I61" s="44"/>
      <c r="J61" s="45"/>
      <c r="K61" s="38">
        <v>760.37</v>
      </c>
      <c r="L61" s="38">
        <v>0</v>
      </c>
      <c r="M61" s="38">
        <f t="shared" si="20"/>
        <v>760.37</v>
      </c>
      <c r="N61" s="38">
        <f t="shared" si="13"/>
        <v>3.8646702143339993</v>
      </c>
      <c r="O61" s="42">
        <f t="shared" si="21"/>
        <v>0.35748199482589493</v>
      </c>
      <c r="P61" s="42">
        <f t="shared" si="22"/>
        <v>3.5071882195081043</v>
      </c>
      <c r="Q61" s="42">
        <f t="shared" si="23"/>
        <v>70.334225000000004</v>
      </c>
      <c r="R61" s="42">
        <f t="shared" si="24"/>
        <v>690.03577499999994</v>
      </c>
      <c r="S61" s="43">
        <v>1</v>
      </c>
      <c r="T61" s="42">
        <f t="shared" si="25"/>
        <v>70.334225000000004</v>
      </c>
      <c r="U61" s="42">
        <f t="shared" si="26"/>
        <v>690.03577499999994</v>
      </c>
      <c r="V61" s="42">
        <f t="shared" si="27"/>
        <v>760.36999999999989</v>
      </c>
      <c r="W61" s="4"/>
      <c r="X61" s="4"/>
      <c r="Y61" s="4"/>
    </row>
    <row r="62" spans="1:25" ht="19.5" customHeight="1">
      <c r="E62" s="11">
        <f>SUM(E35:E61)</f>
        <v>1109.0134499999999</v>
      </c>
      <c r="V62" s="10">
        <f t="shared" ref="V62" si="28">SUM(V35:V61)</f>
        <v>139356.22999999998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7088-E875-49A7-B504-CC85D9D0BE0A}">
  <dimension ref="A1:V21"/>
  <sheetViews>
    <sheetView showGridLines="0" workbookViewId="0">
      <selection activeCell="A3" sqref="A3"/>
    </sheetView>
  </sheetViews>
  <sheetFormatPr defaultColWidth="8.6640625" defaultRowHeight="19.5" customHeight="1"/>
  <cols>
    <col min="1" max="1" width="30.6640625" customWidth="1"/>
    <col min="2" max="11" width="17.33203125" customWidth="1"/>
    <col min="12" max="16" width="16.1640625" customWidth="1"/>
    <col min="17" max="23" width="20.6640625" customWidth="1"/>
    <col min="24" max="26" width="16.1640625" customWidth="1"/>
  </cols>
  <sheetData>
    <row r="1" spans="1:22" ht="49.5" customHeight="1">
      <c r="C1" s="19" t="str">
        <f>RESUMO!C1</f>
        <v>reembolso mensal CCC - ENERGISA RO</v>
      </c>
    </row>
    <row r="2" spans="1:22" ht="30" customHeight="1">
      <c r="C2" s="20" t="s">
        <v>93</v>
      </c>
      <c r="D2" s="7">
        <f>RESUMO!C2</f>
        <v>46143</v>
      </c>
      <c r="Q2" s="4"/>
      <c r="R2" s="4"/>
      <c r="S2" s="4"/>
      <c r="T2" s="4"/>
      <c r="U2" s="4"/>
      <c r="V2" s="4"/>
    </row>
    <row r="3" spans="1:22" s="5" customFormat="1" ht="60" customHeight="1">
      <c r="A3" s="36" t="s">
        <v>99</v>
      </c>
      <c r="B3" s="36" t="s">
        <v>128</v>
      </c>
      <c r="C3" s="36" t="s">
        <v>129</v>
      </c>
      <c r="D3" s="36" t="s">
        <v>130</v>
      </c>
      <c r="E3" s="36" t="s">
        <v>131</v>
      </c>
      <c r="F3" s="36" t="s">
        <v>142</v>
      </c>
      <c r="G3" s="36" t="s">
        <v>143</v>
      </c>
      <c r="H3" s="36" t="s">
        <v>144</v>
      </c>
      <c r="I3" s="36" t="s">
        <v>132</v>
      </c>
      <c r="J3" s="36" t="s">
        <v>133</v>
      </c>
      <c r="K3" s="36" t="s">
        <v>134</v>
      </c>
      <c r="L3" s="4"/>
      <c r="M3" s="4"/>
    </row>
    <row r="4" spans="1:22" s="5" customFormat="1" ht="20.149999999999999" customHeight="1">
      <c r="A4" s="29" t="s">
        <v>59</v>
      </c>
      <c r="B4" s="48" t="s">
        <v>91</v>
      </c>
      <c r="C4" s="29">
        <v>4.4999999999999998E-2</v>
      </c>
      <c r="D4" s="49">
        <v>280</v>
      </c>
      <c r="E4" s="42">
        <f>(D4*C4)</f>
        <v>12.6</v>
      </c>
      <c r="F4" s="42">
        <v>7359.06</v>
      </c>
      <c r="G4" s="51">
        <v>7359.06</v>
      </c>
      <c r="H4" s="50">
        <v>4311.83</v>
      </c>
      <c r="I4" s="51">
        <f>(4921.26+(H4*G4/F4))</f>
        <v>9233.09</v>
      </c>
      <c r="J4" s="42">
        <f>C4*$I$6</f>
        <v>415.48904999999996</v>
      </c>
      <c r="K4" s="51">
        <f>D4*J4</f>
        <v>116336.93399999999</v>
      </c>
      <c r="L4" s="4"/>
      <c r="M4" s="4"/>
    </row>
    <row r="5" spans="1:22" s="5" customFormat="1" ht="20.149999999999999" customHeight="1">
      <c r="A5" s="29" t="s">
        <v>59</v>
      </c>
      <c r="B5" s="48" t="s">
        <v>90</v>
      </c>
      <c r="C5" s="29">
        <v>0.08</v>
      </c>
      <c r="D5" s="49">
        <v>2259</v>
      </c>
      <c r="E5" s="42">
        <f>(D5*C5)</f>
        <v>180.72</v>
      </c>
      <c r="F5" s="42">
        <v>7359.06</v>
      </c>
      <c r="G5" s="51">
        <v>7359.06</v>
      </c>
      <c r="H5" s="50">
        <v>4311.83</v>
      </c>
      <c r="I5" s="51">
        <f>(4921.26+(H5*G5/F5))</f>
        <v>9233.09</v>
      </c>
      <c r="J5" s="42">
        <f>C5*$I$6</f>
        <v>738.6472</v>
      </c>
      <c r="K5" s="51">
        <f>D5*J5</f>
        <v>1668604.0248</v>
      </c>
      <c r="L5" s="4"/>
      <c r="M5" s="4"/>
    </row>
    <row r="6" spans="1:22" ht="19.5" customHeight="1">
      <c r="A6" s="29" t="s">
        <v>59</v>
      </c>
      <c r="B6" s="48" t="s">
        <v>92</v>
      </c>
      <c r="C6" s="29">
        <v>0.16</v>
      </c>
      <c r="D6" s="49">
        <v>12</v>
      </c>
      <c r="E6" s="42">
        <f t="shared" ref="E6" si="0">(D6*C6)</f>
        <v>1.92</v>
      </c>
      <c r="F6" s="42">
        <v>7359.06</v>
      </c>
      <c r="G6" s="51">
        <v>7359.06</v>
      </c>
      <c r="H6" s="50">
        <v>4311.83</v>
      </c>
      <c r="I6" s="51">
        <f>(4921.26+(H6*G6/F6))</f>
        <v>9233.09</v>
      </c>
      <c r="J6" s="42">
        <f>C6*$I$6</f>
        <v>1477.2944</v>
      </c>
      <c r="K6" s="51">
        <f>D6*J6</f>
        <v>17727.532800000001</v>
      </c>
    </row>
    <row r="7" spans="1:22" s="12" customFormat="1" ht="19.5" customHeight="1">
      <c r="C7" s="21"/>
      <c r="D7" s="53">
        <f>SUBTOTAL(9,D4:D6)</f>
        <v>2551</v>
      </c>
      <c r="E7" s="46">
        <f>SUBTOTAL(9,E4:E6)</f>
        <v>195.23999999999998</v>
      </c>
      <c r="J7" s="47"/>
      <c r="K7" s="46">
        <f>SUBTOTAL(9,K4:K6)</f>
        <v>1802668.4915999998</v>
      </c>
    </row>
    <row r="8" spans="1:22" ht="20.149999999999999" customHeight="1"/>
    <row r="9" spans="1:22" ht="20.149999999999999" customHeight="1"/>
    <row r="10" spans="1:22" ht="20.149999999999999" customHeight="1"/>
    <row r="11" spans="1:22" ht="20.149999999999999" customHeight="1"/>
    <row r="15" spans="1:22" ht="60" customHeight="1"/>
    <row r="16" spans="1:22" ht="20.149999999999999" customHeight="1"/>
    <row r="17" ht="20.149999999999999" customHeight="1"/>
    <row r="18" ht="20.149999999999999" customHeight="1"/>
    <row r="19" ht="20.149999999999999" customHeight="1"/>
    <row r="20" ht="20.149999999999999" customHeight="1"/>
    <row r="21" ht="20.149999999999999" customHeight="1"/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3873-33E3-4782-932B-128301453CFE}">
  <dimension ref="A1:U20"/>
  <sheetViews>
    <sheetView showGridLines="0" workbookViewId="0">
      <selection activeCell="A3" sqref="A3"/>
    </sheetView>
  </sheetViews>
  <sheetFormatPr defaultColWidth="8.6640625" defaultRowHeight="19.5" customHeight="1"/>
  <cols>
    <col min="1" max="3" width="30.6640625" customWidth="1"/>
    <col min="4" max="10" width="18.9140625" customWidth="1"/>
    <col min="11" max="15" width="16.1640625" customWidth="1"/>
    <col min="16" max="22" width="20.6640625" customWidth="1"/>
    <col min="23" max="25" width="16.1640625" customWidth="1"/>
  </cols>
  <sheetData>
    <row r="1" spans="1:21" ht="49.5" customHeight="1">
      <c r="C1" s="19" t="str">
        <f>RESUMO!C1</f>
        <v>reembolso mensal CCC - ENERGISA RO</v>
      </c>
    </row>
    <row r="2" spans="1:21" ht="30" customHeight="1">
      <c r="C2" s="20" t="s">
        <v>93</v>
      </c>
      <c r="D2" s="7">
        <f>RESUMO!C2</f>
        <v>46143</v>
      </c>
      <c r="P2" s="4"/>
      <c r="Q2" s="4"/>
      <c r="R2" s="4"/>
      <c r="S2" s="4"/>
      <c r="T2" s="4"/>
      <c r="U2" s="4"/>
    </row>
    <row r="3" spans="1:21" s="5" customFormat="1" ht="60" customHeight="1">
      <c r="A3" s="36" t="s">
        <v>99</v>
      </c>
      <c r="B3" s="36" t="s">
        <v>4</v>
      </c>
      <c r="C3" s="36" t="s">
        <v>101</v>
      </c>
      <c r="D3" s="36" t="s">
        <v>102</v>
      </c>
      <c r="E3" s="36" t="s">
        <v>137</v>
      </c>
      <c r="F3" s="36" t="s">
        <v>142</v>
      </c>
      <c r="G3" s="36" t="s">
        <v>143</v>
      </c>
      <c r="H3" s="36" t="s">
        <v>144</v>
      </c>
      <c r="I3" s="36" t="s">
        <v>132</v>
      </c>
      <c r="J3" s="36" t="s">
        <v>112</v>
      </c>
      <c r="K3" s="4"/>
      <c r="L3" s="4"/>
    </row>
    <row r="4" spans="1:21" s="5" customFormat="1" ht="20.149999999999999" customHeight="1">
      <c r="A4" s="29" t="s">
        <v>59</v>
      </c>
      <c r="B4" s="48" t="s">
        <v>138</v>
      </c>
      <c r="C4" s="29" t="s">
        <v>139</v>
      </c>
      <c r="D4" s="37">
        <v>7.8580709999999998</v>
      </c>
      <c r="E4" s="38">
        <v>6646.67</v>
      </c>
      <c r="F4" s="42">
        <v>7359.06</v>
      </c>
      <c r="G4" s="51">
        <v>7359.06</v>
      </c>
      <c r="H4" s="50">
        <v>4311.83</v>
      </c>
      <c r="I4" s="51">
        <f>(4921.26+(H4*G4/F4))</f>
        <v>9233.09</v>
      </c>
      <c r="J4" s="38">
        <f>I4*D4</f>
        <v>72554.276769389995</v>
      </c>
      <c r="K4" s="4"/>
      <c r="L4" s="4"/>
    </row>
    <row r="5" spans="1:21" s="5" customFormat="1" ht="20.149999999999999" customHeight="1">
      <c r="A5" s="29" t="s">
        <v>59</v>
      </c>
      <c r="B5" s="48" t="s">
        <v>140</v>
      </c>
      <c r="C5" s="29" t="s">
        <v>141</v>
      </c>
      <c r="D5" s="37">
        <v>9.9659429999999993</v>
      </c>
      <c r="E5" s="38">
        <v>6646.67</v>
      </c>
      <c r="F5" s="42">
        <v>7359.06</v>
      </c>
      <c r="G5" s="51">
        <v>7359.06</v>
      </c>
      <c r="H5" s="50">
        <v>4311.83</v>
      </c>
      <c r="I5" s="51">
        <f>(4921.26+(H5*G5/F5))</f>
        <v>9233.09</v>
      </c>
      <c r="J5" s="38">
        <f>I5*D5</f>
        <v>92016.44865387</v>
      </c>
      <c r="K5" s="4"/>
      <c r="L5" s="4"/>
    </row>
    <row r="6" spans="1:21" s="12" customFormat="1" ht="19.5" customHeight="1">
      <c r="C6" s="21"/>
      <c r="D6" s="46">
        <f>SUBTOTAL(9,D4:D5)</f>
        <v>17.824013999999998</v>
      </c>
      <c r="E6" s="46"/>
      <c r="I6" s="46"/>
      <c r="J6" s="46">
        <f>SUBTOTAL(9,J4:J5)</f>
        <v>164570.72542326001</v>
      </c>
    </row>
    <row r="7" spans="1:21" ht="20.149999999999999" customHeight="1"/>
    <row r="8" spans="1:21" ht="20.149999999999999" customHeight="1"/>
    <row r="9" spans="1:21" ht="20.149999999999999" customHeight="1"/>
    <row r="10" spans="1:21" ht="20.149999999999999" customHeight="1"/>
    <row r="14" spans="1:21" ht="60" customHeight="1"/>
    <row r="15" spans="1:21" ht="20.149999999999999" customHeight="1"/>
    <row r="16" spans="1:21" ht="20.149999999999999" customHeight="1"/>
    <row r="17" ht="20.149999999999999" customHeight="1"/>
    <row r="18" ht="20.149999999999999" customHeight="1"/>
    <row r="19" ht="20.149999999999999" customHeight="1"/>
    <row r="20" ht="20.149999999999999" customHeight="1"/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</vt:lpstr>
      <vt:lpstr>CONTRATOS CCVEE</vt:lpstr>
      <vt:lpstr>CONTRATOS CCESI</vt:lpstr>
      <vt:lpstr>SIGFI</vt:lpstr>
      <vt:lpstr>MIGDI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Lucia Barbosa de Oliveira</dc:creator>
  <cp:lastModifiedBy>Gabriela Pantoja Passos</cp:lastModifiedBy>
  <dcterms:created xsi:type="dcterms:W3CDTF">2019-04-29T22:08:02Z</dcterms:created>
  <dcterms:modified xsi:type="dcterms:W3CDTF">2026-07-15T14:48:33Z</dcterms:modified>
</cp:coreProperties>
</file>